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emory used during baking" sheetId="1" r:id="rId4"/>
    <sheet state="visible" name="Memory used during compositing" sheetId="2" r:id="rId5"/>
    <sheet state="visible" name="CPU memory consumption" sheetId="3" r:id="rId6"/>
    <sheet state="visible" name="Memory used during baking (summ" sheetId="4" r:id="rId7"/>
    <sheet state="visible" name="Denoisers memory consumption" sheetId="5" r:id="rId8"/>
  </sheets>
  <definedNames/>
  <calcPr/>
</workbook>
</file>

<file path=xl/sharedStrings.xml><?xml version="1.0" encoding="utf-8"?>
<sst xmlns="http://schemas.openxmlformats.org/spreadsheetml/2006/main" count="596" uniqueCount="171">
  <si>
    <t>You can edit values in the table below</t>
  </si>
  <si>
    <t>Lightmap width</t>
  </si>
  <si>
    <t>Lightmap Height</t>
  </si>
  <si>
    <t>Antialiasing</t>
  </si>
  <si>
    <t>Lightmap space buffers</t>
  </si>
  <si>
    <t>Tiling (ray space)</t>
  </si>
  <si>
    <t>Ray space buffers</t>
  </si>
  <si>
    <t>Tiling (lightmap space)</t>
  </si>
  <si>
    <t>Others</t>
  </si>
  <si>
    <t>MinRaycount</t>
  </si>
  <si>
    <t>Additional bake parameters</t>
  </si>
  <si>
    <t>SUM (MB)</t>
  </si>
  <si>
    <t>DirectLighting</t>
  </si>
  <si>
    <t>On</t>
  </si>
  <si>
    <t>Shadomask</t>
  </si>
  <si>
    <t>AO</t>
  </si>
  <si>
    <t>Directionnal lightmap</t>
  </si>
  <si>
    <t>Ray count</t>
  </si>
  <si>
    <t>Texel Count</t>
  </si>
  <si>
    <t>Tilesize (lightmap space)</t>
  </si>
  <si>
    <t>#baking pass</t>
  </si>
  <si>
    <t>Buffer name</t>
  </si>
  <si>
    <t>#elements</t>
  </si>
  <si>
    <t>Size per element (B)</t>
  </si>
  <si>
    <t>Element type</t>
  </si>
  <si>
    <t>Buffer size (MB)</t>
  </si>
  <si>
    <t>Storage class</t>
  </si>
  <si>
    <t>Needed for compositing</t>
  </si>
  <si>
    <t>Needed for culling</t>
  </si>
  <si>
    <t>outputDirectLightingBuffer</t>
  </si>
  <si>
    <t>Vector4f</t>
  </si>
  <si>
    <t>OpenCLRenderLightmapBuffers</t>
  </si>
  <si>
    <t>Yes</t>
  </si>
  <si>
    <t>No</t>
  </si>
  <si>
    <t>outputIndirectLightingBuffer</t>
  </si>
  <si>
    <t>outputEnvironmentLightingBuffer</t>
  </si>
  <si>
    <t>outputDirectionalFromDirectBuffer</t>
  </si>
  <si>
    <t>outputDirectionalFromGiBuffer</t>
  </si>
  <si>
    <t>outputAoBuffer</t>
  </si>
  <si>
    <t>float</t>
  </si>
  <si>
    <t>outputValidityBuffer</t>
  </si>
  <si>
    <t>cullingMapBuffer</t>
  </si>
  <si>
    <t>unsigned char</t>
  </si>
  <si>
    <t>chartIndexBuffer</t>
  </si>
  <si>
    <t>int</t>
  </si>
  <si>
    <t>occupancyBuffer</t>
  </si>
  <si>
    <t>outputShadowmaskFromDirectBuffer</t>
  </si>
  <si>
    <t>OpenCLRenderBuffers</t>
  </si>
  <si>
    <t>directSampleCountBuffer</t>
  </si>
  <si>
    <t>indirectSampleCountBuffer</t>
  </si>
  <si>
    <t>environmentSampleCountBuffer</t>
  </si>
  <si>
    <t>expandedTexelsBuffer</t>
  </si>
  <si>
    <t>ExpandedTexelInfo</t>
  </si>
  <si>
    <t>planeNormalsWSBuffer</t>
  </si>
  <si>
    <t>PackedNormalOctQuad</t>
  </si>
  <si>
    <t>interpNormalsWSBuffer</t>
  </si>
  <si>
    <t>positionsWSBuffer</t>
  </si>
  <si>
    <t>SUM</t>
  </si>
  <si>
    <t>BVH Stack Buffer</t>
  </si>
  <si>
    <t>lightingExpandedBuffer</t>
  </si>
  <si>
    <t>directionalExpandedBuffer</t>
  </si>
  <si>
    <t>pathRaysCompactedBuffer_0</t>
  </si>
  <si>
    <t>Ray</t>
  </si>
  <si>
    <t>pathRaysCompactedBuffer_1</t>
  </si>
  <si>
    <t>lightRaysCompactedBuffer</t>
  </si>
  <si>
    <t>pathIntersectionsCompactedBuffer</t>
  </si>
  <si>
    <t>Intersection</t>
  </si>
  <si>
    <t>lightOcclusionCompactedBuffer</t>
  </si>
  <si>
    <t>shadowmaskExpandedBuffer</t>
  </si>
  <si>
    <t>pathThroughputExpandedBuffer</t>
  </si>
  <si>
    <t>transparentPathRayIndicesCompactedBuffer</t>
  </si>
  <si>
    <t>unsigned int</t>
  </si>
  <si>
    <t>pathLastPlaneNormalCompactedBuffer</t>
  </si>
  <si>
    <t>pathLastInterpNormalCompactedBuffer</t>
  </si>
  <si>
    <t>pathLastNormalFacingTheRayCompactedBuffer</t>
  </si>
  <si>
    <t>lightRayIndexToPathRayIndexCompactedBuffer</t>
  </si>
  <si>
    <t>lightSamplesCompactedBuffer</t>
  </si>
  <si>
    <t>LightSample</t>
  </si>
  <si>
    <t>sampleDescriptionsExpandedBuffer</t>
  </si>
  <si>
    <t>SampleDescription</t>
  </si>
  <si>
    <t>originalRaysExpandedBuffer</t>
  </si>
  <si>
    <t>visibleTexelCountBuffer</t>
  </si>
  <si>
    <t>convergenceOutputDataBuffer</t>
  </si>
  <si>
    <t>convergenceOutputData</t>
  </si>
  <si>
    <t>activePathCountBuffer_0</t>
  </si>
  <si>
    <t>activePathCountBuffer_1</t>
  </si>
  <si>
    <t>lightRaysCountBuffer</t>
  </si>
  <si>
    <t>transparentPathRayIndicesCompactedCountBuffer</t>
  </si>
  <si>
    <t>totalRaysCastCountBuffer</t>
  </si>
  <si>
    <t>sampleDescriptionsExpandedCountBuffer</t>
  </si>
  <si>
    <t>expandedTexelsCountBuffer</t>
  </si>
  <si>
    <t>goldenSample_buffer</t>
  </si>
  <si>
    <t>OpenCLCommonBuffers</t>
  </si>
  <si>
    <t>sobol_buffer</t>
  </si>
  <si>
    <t>blueNoiseSampling_buffer</t>
  </si>
  <si>
    <t>blueNoiseRanking_buffer</t>
  </si>
  <si>
    <t>blueNoiseScrambling_buffer</t>
  </si>
  <si>
    <t>SUM (compositing stage)</t>
  </si>
  <si>
    <t>Scene dependent buffers (archviz pro here)</t>
  </si>
  <si>
    <t>albedoTextures_buffer</t>
  </si>
  <si>
    <t>MB</t>
  </si>
  <si>
    <t>emissiveTextures_buffer</t>
  </si>
  <si>
    <t>transmissionTextures_buffer</t>
  </si>
  <si>
    <t>instanceIdToLodInfoBuffer</t>
  </si>
  <si>
    <t>directLightsIndexBuffer</t>
  </si>
  <si>
    <t>directLightsBuffer</t>
  </si>
  <si>
    <t>indirectLightsIndexBuffer</t>
  </si>
  <si>
    <t>indirectLightsBuffer</t>
  </si>
  <si>
    <t>indirectLightsDistributionBuffer</t>
  </si>
  <si>
    <t>Category</t>
  </si>
  <si>
    <t>OpenCLEnvironmentBuffers</t>
  </si>
  <si>
    <t>env_mipped_cube_texels_buffer</t>
  </si>
  <si>
    <t>envDirectionsBuffer</t>
  </si>
  <si>
    <t>RadeonRaysMeshManager</t>
  </si>
  <si>
    <t>instanceIdToAlbedoTextureProperties</t>
  </si>
  <si>
    <t>instanceIdToEmissiveTextureProperties</t>
  </si>
  <si>
    <t>instanceIdToTransmissionTextureProperties</t>
  </si>
  <si>
    <t>instanceIdToTransmissionTextureSTs</t>
  </si>
  <si>
    <t>geometryUV0sBuffer</t>
  </si>
  <si>
    <t>geometryUV1sBuffer</t>
  </si>
  <si>
    <t>geometryPositionsBuffer</t>
  </si>
  <si>
    <t>geometryNormalsBuffer</t>
  </si>
  <si>
    <t>geometryIndicesBuffer</t>
  </si>
  <si>
    <t>instanceIdToMeshDataOffsets</t>
  </si>
  <si>
    <t>instanceIdToInvTransposedMatrices</t>
  </si>
  <si>
    <t>BVH</t>
  </si>
  <si>
    <t>Filter radius (Gaussian or Atrous)</t>
  </si>
  <si>
    <t>Additional bake parameters, use 0 or 1 in these cells</t>
  </si>
  <si>
    <t>Compositing Helper tiles</t>
  </si>
  <si>
    <t>Off</t>
  </si>
  <si>
    <t>Compositing helper #max tiles</t>
  </si>
  <si>
    <t>GBuffer</t>
  </si>
  <si>
    <t>Tiling</t>
  </si>
  <si>
    <t>Untiled cpu buffers</t>
  </si>
  <si>
    <t>Denoiser</t>
  </si>
  <si>
    <t>CPU RAM Needed to bake WITH GPULM Tiling ON
WITHOUT Denoising</t>
  </si>
  <si>
    <t>CPU RAM</t>
  </si>
  <si>
    <t>Lightmap size / AA</t>
  </si>
  <si>
    <t>Total CPU RAM (GB)
installed</t>
  </si>
  <si>
    <t>Percentage allowed
to be used by GPULM</t>
  </si>
  <si>
    <t>Ram Allowed (GB)
to be used by GPULM</t>
  </si>
  <si>
    <t>1024 / 1</t>
  </si>
  <si>
    <t>1024 / 4</t>
  </si>
  <si>
    <t>1024 / 16</t>
  </si>
  <si>
    <t>2048 / 1</t>
  </si>
  <si>
    <t>2048 / 4</t>
  </si>
  <si>
    <t>2048 / 16</t>
  </si>
  <si>
    <t>4096 / 1</t>
  </si>
  <si>
    <t>4096 / 4</t>
  </si>
  <si>
    <t>4096 / 16</t>
  </si>
  <si>
    <t>GBUFFER</t>
  </si>
  <si>
    <t>occupancy</t>
  </si>
  <si>
    <t>chartID</t>
  </si>
  <si>
    <t>UInt8</t>
  </si>
  <si>
    <t>Lightmap size</t>
  </si>
  <si>
    <t>AA</t>
  </si>
  <si>
    <t>Lightmap tiling</t>
  </si>
  <si>
    <t>Ray space tiling</t>
  </si>
  <si>
    <t>Lightmap spce buffers</t>
  </si>
  <si>
    <t>Total Memory</t>
  </si>
  <si>
    <t>This is only the GPU denoiser memory consumption, tested on a RTX2070 on Windows</t>
  </si>
  <si>
    <t>This is only the CPU denoiser memory consumption, tested on a Intel i9-7940X on Windows</t>
  </si>
  <si>
    <t>OptiX</t>
  </si>
  <si>
    <t>RadeonPro</t>
  </si>
  <si>
    <t>OpenImage</t>
  </si>
  <si>
    <t>4k</t>
  </si>
  <si>
    <t>Can't fit on this GPU</t>
  </si>
  <si>
    <t>2k</t>
  </si>
  <si>
    <t>1k</t>
  </si>
  <si>
    <t>can't see value in GPUz</t>
  </si>
  <si>
    <t>This is only the GPU denoiser memory consumption, tested on a GTX1080Ti on Windows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</si>
</sst>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#0&quot; MB&quot;"/>
    <numFmt numFmtId="165" formatCode="0.000000"/>
  </numFmts>
  <fonts count="11">
    <font>
      <sz val="10.0"/>
      <color rgb="FF000000"/>
      <name val="Arial"/>
    </font>
    <font>
      <b/>
      <sz val="12.0"/>
      <color theme="1"/>
      <name val="Arial"/>
    </font>
    <font>
      <color theme="1"/>
      <name val="Arial"/>
    </font>
    <font>
      <sz val="12.0"/>
      <color theme="1"/>
      <name val="Arial"/>
    </font>
    <font>
      <b/>
      <color theme="1"/>
      <name val="Arial"/>
    </font>
    <font/>
    <font>
      <color rgb="FF000000"/>
      <name val="Arial"/>
    </font>
    <font>
      <color rgb="FFFF0000"/>
      <name val="Arial"/>
    </font>
    <font>
      <b/>
      <color rgb="FF000000"/>
      <name val="Arial"/>
    </font>
    <font>
      <b/>
      <color theme="4"/>
      <name val="Arial"/>
    </font>
    <font>
      <b/>
      <color rgb="FF4A86E8"/>
      <name val="Arial"/>
    </font>
  </fonts>
  <fills count="5">
    <fill>
      <patternFill patternType="none"/>
    </fill>
    <fill>
      <patternFill patternType="lightGray"/>
    </fill>
    <fill>
      <patternFill patternType="solid">
        <fgColor rgb="FF00FFFF"/>
        <bgColor rgb="FF00FFFF"/>
      </patternFill>
    </fill>
    <fill>
      <patternFill patternType="solid">
        <fgColor rgb="FFB7E1CD"/>
        <bgColor rgb="FFB7E1CD"/>
      </patternFill>
    </fill>
    <fill>
      <patternFill patternType="solid">
        <fgColor rgb="FFE06666"/>
        <bgColor rgb="FFE06666"/>
      </patternFill>
    </fill>
  </fills>
  <borders count="12">
    <border/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8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readingOrder="0"/>
    </xf>
    <xf borderId="1" fillId="0" fontId="2" numFmtId="0" xfId="0" applyAlignment="1" applyBorder="1" applyFont="1">
      <alignment readingOrder="0"/>
    </xf>
    <xf borderId="2" fillId="0" fontId="2" numFmtId="0" xfId="0" applyAlignment="1" applyBorder="1" applyFont="1">
      <alignment readingOrder="0"/>
    </xf>
    <xf borderId="3" fillId="0" fontId="2" numFmtId="0" xfId="0" applyAlignment="1" applyBorder="1" applyFont="1">
      <alignment readingOrder="0"/>
    </xf>
    <xf borderId="4" fillId="0" fontId="2" numFmtId="0" xfId="0" applyAlignment="1" applyBorder="1" applyFont="1">
      <alignment readingOrder="0"/>
    </xf>
    <xf borderId="1" fillId="0" fontId="1" numFmtId="0" xfId="0" applyAlignment="1" applyBorder="1" applyFont="1">
      <alignment readingOrder="0"/>
    </xf>
    <xf borderId="2" fillId="0" fontId="3" numFmtId="164" xfId="0" applyBorder="1" applyFont="1" applyNumberFormat="1"/>
    <xf borderId="0" fillId="0" fontId="4" numFmtId="0" xfId="0" applyAlignment="1" applyFont="1">
      <alignment readingOrder="0"/>
    </xf>
    <xf borderId="0" fillId="0" fontId="4" numFmtId="165" xfId="0" applyAlignment="1" applyFont="1" applyNumberFormat="1">
      <alignment readingOrder="0"/>
    </xf>
    <xf borderId="3" fillId="0" fontId="1" numFmtId="0" xfId="0" applyAlignment="1" applyBorder="1" applyFont="1">
      <alignment readingOrder="0"/>
    </xf>
    <xf borderId="4" fillId="0" fontId="3" numFmtId="164" xfId="0" applyBorder="1" applyFont="1" applyNumberFormat="1"/>
    <xf borderId="3" fillId="0" fontId="3" numFmtId="0" xfId="0" applyBorder="1" applyFont="1"/>
    <xf borderId="3" fillId="0" fontId="4" numFmtId="0" xfId="0" applyAlignment="1" applyBorder="1" applyFont="1">
      <alignment readingOrder="0"/>
    </xf>
    <xf borderId="4" fillId="0" fontId="5" numFmtId="0" xfId="0" applyBorder="1" applyFont="1"/>
    <xf borderId="5" fillId="0" fontId="1" numFmtId="0" xfId="0" applyAlignment="1" applyBorder="1" applyFont="1">
      <alignment readingOrder="0"/>
    </xf>
    <xf borderId="6" fillId="0" fontId="1" numFmtId="164" xfId="0" applyBorder="1" applyFont="1" applyNumberFormat="1"/>
    <xf borderId="5" fillId="0" fontId="2" numFmtId="0" xfId="0" applyAlignment="1" applyBorder="1" applyFont="1">
      <alignment readingOrder="0"/>
    </xf>
    <xf borderId="2" fillId="0" fontId="2" numFmtId="0" xfId="0" applyBorder="1" applyFont="1"/>
    <xf borderId="0" fillId="0" fontId="4" numFmtId="0" xfId="0" applyFont="1"/>
    <xf borderId="4" fillId="0" fontId="2" numFmtId="0" xfId="0" applyBorder="1" applyFont="1"/>
    <xf borderId="6" fillId="0" fontId="2" numFmtId="0" xfId="0" applyAlignment="1" applyBorder="1" applyFont="1">
      <alignment readingOrder="0"/>
    </xf>
    <xf borderId="7" fillId="0" fontId="4" numFmtId="0" xfId="0" applyAlignment="1" applyBorder="1" applyFont="1">
      <alignment readingOrder="0"/>
    </xf>
    <xf borderId="7" fillId="0" fontId="2" numFmtId="0" xfId="0" applyAlignment="1" applyBorder="1" applyFont="1">
      <alignment readingOrder="0"/>
    </xf>
    <xf borderId="7" fillId="0" fontId="2" numFmtId="0" xfId="0" applyBorder="1" applyFont="1"/>
    <xf borderId="0" fillId="0" fontId="2" numFmtId="0" xfId="0" applyFont="1"/>
    <xf borderId="0" fillId="0" fontId="6" numFmtId="0" xfId="0" applyAlignment="1" applyFont="1">
      <alignment readingOrder="0"/>
    </xf>
    <xf borderId="0" fillId="0" fontId="7" numFmtId="0" xfId="0" applyFont="1"/>
    <xf borderId="0" fillId="2" fontId="2" numFmtId="0" xfId="0" applyAlignment="1" applyFill="1" applyFont="1">
      <alignment readingOrder="0"/>
    </xf>
    <xf borderId="0" fillId="0" fontId="8" numFmtId="0" xfId="0" applyAlignment="1" applyFont="1">
      <alignment readingOrder="0"/>
    </xf>
    <xf borderId="0" fillId="0" fontId="7" numFmtId="0" xfId="0" applyAlignment="1" applyFont="1">
      <alignment readingOrder="0"/>
    </xf>
    <xf borderId="8" fillId="0" fontId="2" numFmtId="0" xfId="0" applyAlignment="1" applyBorder="1" applyFont="1">
      <alignment readingOrder="0"/>
    </xf>
    <xf borderId="8" fillId="0" fontId="2" numFmtId="0" xfId="0" applyBorder="1" applyFont="1"/>
    <xf borderId="8" fillId="0" fontId="4" numFmtId="0" xfId="0" applyAlignment="1" applyBorder="1" applyFont="1">
      <alignment readingOrder="0"/>
    </xf>
    <xf borderId="8" fillId="0" fontId="4" numFmtId="0" xfId="0" applyBorder="1" applyFont="1"/>
    <xf borderId="8" fillId="0" fontId="6" numFmtId="0" xfId="0" applyAlignment="1" applyBorder="1" applyFont="1">
      <alignment readingOrder="0"/>
    </xf>
    <xf borderId="8" fillId="0" fontId="7" numFmtId="0" xfId="0" applyAlignment="1" applyBorder="1" applyFont="1">
      <alignment readingOrder="0"/>
    </xf>
    <xf borderId="8" fillId="0" fontId="7" numFmtId="0" xfId="0" applyBorder="1" applyFont="1"/>
    <xf borderId="0" fillId="0" fontId="4" numFmtId="0" xfId="0" applyAlignment="1" applyFont="1">
      <alignment horizontal="center" readingOrder="0"/>
    </xf>
    <xf borderId="1" fillId="0" fontId="2" numFmtId="0" xfId="0" applyBorder="1" applyFont="1"/>
    <xf borderId="7" fillId="0" fontId="4" numFmtId="0" xfId="0" applyAlignment="1" applyBorder="1" applyFont="1">
      <alignment horizontal="center" readingOrder="0"/>
    </xf>
    <xf borderId="7" fillId="0" fontId="5" numFmtId="0" xfId="0" applyBorder="1" applyFont="1"/>
    <xf borderId="2" fillId="0" fontId="5" numFmtId="0" xfId="0" applyBorder="1" applyFont="1"/>
    <xf borderId="3" fillId="0" fontId="4" numFmtId="0" xfId="0" applyAlignment="1" applyBorder="1" applyFont="1">
      <alignment horizontal="center" readingOrder="0"/>
    </xf>
    <xf borderId="4" fillId="0" fontId="4" numFmtId="0" xfId="0" applyAlignment="1" applyBorder="1" applyFont="1">
      <alignment readingOrder="0"/>
    </xf>
    <xf borderId="9" fillId="0" fontId="9" numFmtId="0" xfId="0" applyAlignment="1" applyBorder="1" applyFont="1">
      <alignment readingOrder="0"/>
    </xf>
    <xf borderId="9" fillId="0" fontId="9" numFmtId="2" xfId="0" applyAlignment="1" applyBorder="1" applyFont="1" applyNumberFormat="1">
      <alignment readingOrder="0"/>
    </xf>
    <xf borderId="9" fillId="0" fontId="9" numFmtId="2" xfId="0" applyBorder="1" applyFont="1" applyNumberFormat="1"/>
    <xf borderId="7" fillId="3" fontId="9" numFmtId="2" xfId="0" applyBorder="1" applyFill="1" applyFont="1" applyNumberFormat="1"/>
    <xf borderId="7" fillId="4" fontId="9" numFmtId="2" xfId="0" applyBorder="1" applyFill="1" applyFont="1" applyNumberFormat="1"/>
    <xf borderId="2" fillId="4" fontId="9" numFmtId="2" xfId="0" applyBorder="1" applyFont="1" applyNumberFormat="1"/>
    <xf borderId="10" fillId="0" fontId="2" numFmtId="0" xfId="0" applyAlignment="1" applyBorder="1" applyFont="1">
      <alignment readingOrder="0"/>
    </xf>
    <xf borderId="10" fillId="0" fontId="2" numFmtId="2" xfId="0" applyAlignment="1" applyBorder="1" applyFont="1" applyNumberFormat="1">
      <alignment readingOrder="0"/>
    </xf>
    <xf borderId="10" fillId="0" fontId="2" numFmtId="2" xfId="0" applyBorder="1" applyFont="1" applyNumberFormat="1"/>
    <xf borderId="0" fillId="3" fontId="2" numFmtId="2" xfId="0" applyFont="1" applyNumberFormat="1"/>
    <xf borderId="0" fillId="4" fontId="2" numFmtId="2" xfId="0" applyFont="1" applyNumberFormat="1"/>
    <xf borderId="4" fillId="4" fontId="2" numFmtId="2" xfId="0" applyBorder="1" applyFont="1" applyNumberFormat="1"/>
    <xf borderId="9" fillId="0" fontId="10" numFmtId="0" xfId="0" applyAlignment="1" applyBorder="1" applyFont="1">
      <alignment readingOrder="0"/>
    </xf>
    <xf borderId="9" fillId="0" fontId="10" numFmtId="2" xfId="0" applyAlignment="1" applyBorder="1" applyFont="1" applyNumberFormat="1">
      <alignment readingOrder="0"/>
    </xf>
    <xf borderId="9" fillId="0" fontId="10" numFmtId="2" xfId="0" applyBorder="1" applyFont="1" applyNumberFormat="1"/>
    <xf borderId="7" fillId="3" fontId="10" numFmtId="2" xfId="0" applyBorder="1" applyFont="1" applyNumberFormat="1"/>
    <xf borderId="2" fillId="4" fontId="10" numFmtId="2" xfId="0" applyBorder="1" applyFont="1" applyNumberFormat="1"/>
    <xf borderId="4" fillId="3" fontId="2" numFmtId="2" xfId="0" applyBorder="1" applyFont="1" applyNumberFormat="1"/>
    <xf borderId="2" fillId="3" fontId="10" numFmtId="2" xfId="0" applyBorder="1" applyFont="1" applyNumberFormat="1"/>
    <xf borderId="11" fillId="0" fontId="2" numFmtId="0" xfId="0" applyAlignment="1" applyBorder="1" applyFont="1">
      <alignment readingOrder="0"/>
    </xf>
    <xf borderId="11" fillId="0" fontId="2" numFmtId="2" xfId="0" applyAlignment="1" applyBorder="1" applyFont="1" applyNumberFormat="1">
      <alignment readingOrder="0"/>
    </xf>
    <xf borderId="11" fillId="0" fontId="2" numFmtId="2" xfId="0" applyBorder="1" applyFont="1" applyNumberFormat="1"/>
    <xf borderId="8" fillId="3" fontId="2" numFmtId="2" xfId="0" applyBorder="1" applyFont="1" applyNumberFormat="1"/>
    <xf borderId="6" fillId="3" fontId="2" numFmtId="2" xfId="0" applyBorder="1" applyFont="1" applyNumberFormat="1"/>
    <xf borderId="0" fillId="0" fontId="2" numFmtId="2" xfId="0" applyAlignment="1" applyFont="1" applyNumberFormat="1">
      <alignment readingOrder="0"/>
    </xf>
    <xf borderId="0" fillId="0" fontId="2" numFmtId="2" xfId="0" applyFont="1" applyNumberFormat="1"/>
    <xf borderId="6" fillId="0" fontId="4" numFmtId="0" xfId="0" applyAlignment="1" applyBorder="1" applyFont="1">
      <alignment readingOrder="0"/>
    </xf>
    <xf borderId="5" fillId="0" fontId="2" numFmtId="0" xfId="0" applyBorder="1" applyFont="1"/>
    <xf borderId="6" fillId="0" fontId="2" numFmtId="0" xfId="0" applyBorder="1" applyFont="1"/>
    <xf borderId="2" fillId="0" fontId="4" numFmtId="0" xfId="0" applyAlignment="1" applyBorder="1" applyFont="1">
      <alignment readingOrder="0"/>
    </xf>
    <xf borderId="0" fillId="0" fontId="2" numFmtId="164" xfId="0" applyFont="1" applyNumberFormat="1"/>
    <xf borderId="0" fillId="0" fontId="2" numFmtId="164" xfId="0" applyAlignment="1" applyFont="1" applyNumberFormat="1">
      <alignment readingOrder="0"/>
    </xf>
    <xf borderId="5" fillId="0" fontId="4" numFmtId="0" xfId="0" applyAlignment="1" applyBorder="1" applyFont="1">
      <alignment horizontal="center" readingOrder="0"/>
    </xf>
    <xf borderId="8" fillId="0" fontId="2" numFmtId="164" xfId="0" applyAlignment="1" applyBorder="1" applyFont="1" applyNumberFormat="1">
      <alignment readingOrder="0"/>
    </xf>
    <xf borderId="8" fillId="0" fontId="2" numFmtId="164" xfId="0" applyBorder="1" applyFont="1" applyNumberFormat="1"/>
  </cellXfs>
  <cellStyles count="1">
    <cellStyle xfId="0" name="Normal" builtinId="0"/>
  </cellStyles>
  <dxfs count="1">
    <dxf>
      <font/>
      <fill>
        <patternFill patternType="solid">
          <fgColor rgb="FFB7E1CD"/>
          <bgColor rgb="FFB7E1CD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45.29"/>
    <col customWidth="1" min="3" max="3" width="19.43"/>
    <col customWidth="1" min="4" max="4" width="28.0"/>
    <col customWidth="1" min="5" max="5" width="16.29"/>
    <col customWidth="1" min="6" max="6" width="28.43"/>
    <col customWidth="1" min="7" max="8" width="22.57"/>
    <col customWidth="1" min="9" max="9" width="23.14"/>
  </cols>
  <sheetData>
    <row r="1">
      <c r="A1" s="1" t="s">
        <v>0</v>
      </c>
      <c r="B1" s="2"/>
    </row>
    <row r="2">
      <c r="A2" s="3" t="s">
        <v>1</v>
      </c>
      <c r="B2" s="4">
        <v>1024.0</v>
      </c>
    </row>
    <row r="3">
      <c r="A3" s="5" t="s">
        <v>2</v>
      </c>
      <c r="B3" s="6">
        <f>B2</f>
        <v>1024</v>
      </c>
    </row>
    <row r="4">
      <c r="A4" s="5" t="s">
        <v>3</v>
      </c>
      <c r="B4" s="6">
        <v>4.0</v>
      </c>
      <c r="D4" s="7" t="s">
        <v>4</v>
      </c>
      <c r="E4" s="8">
        <f>E44</f>
        <v>230</v>
      </c>
      <c r="G4" s="9"/>
      <c r="H4" s="9"/>
      <c r="I4" s="10"/>
    </row>
    <row r="5">
      <c r="A5" s="5" t="s">
        <v>5</v>
      </c>
      <c r="B5" s="6">
        <v>1.0</v>
      </c>
      <c r="D5" s="11" t="s">
        <v>6</v>
      </c>
      <c r="E5" s="12">
        <f>E67</f>
        <v>497</v>
      </c>
      <c r="G5" s="2"/>
      <c r="H5" s="2"/>
    </row>
    <row r="6">
      <c r="A6" s="5" t="s">
        <v>7</v>
      </c>
      <c r="B6" s="6">
        <v>1.0</v>
      </c>
      <c r="D6" s="11" t="s">
        <v>8</v>
      </c>
      <c r="E6" s="12">
        <f>E84</f>
        <v>14.51609155</v>
      </c>
    </row>
    <row r="7">
      <c r="A7" s="5" t="s">
        <v>9</v>
      </c>
      <c r="B7" s="6">
        <v>0.0</v>
      </c>
      <c r="D7" s="13"/>
      <c r="E7" s="12"/>
    </row>
    <row r="8">
      <c r="A8" s="14" t="s">
        <v>10</v>
      </c>
      <c r="B8" s="15"/>
      <c r="D8" s="16" t="s">
        <v>11</v>
      </c>
      <c r="E8" s="17">
        <f>sum(E4:E7)</f>
        <v>741.5160916</v>
      </c>
    </row>
    <row r="9">
      <c r="A9" s="5" t="s">
        <v>12</v>
      </c>
      <c r="B9" s="6" t="s">
        <v>13</v>
      </c>
    </row>
    <row r="10">
      <c r="A10" s="5" t="s">
        <v>14</v>
      </c>
      <c r="B10" s="6" t="s">
        <v>13</v>
      </c>
    </row>
    <row r="11">
      <c r="A11" s="5" t="s">
        <v>15</v>
      </c>
      <c r="B11" s="6" t="s">
        <v>13</v>
      </c>
    </row>
    <row r="12">
      <c r="A12" s="18" t="s">
        <v>16</v>
      </c>
      <c r="B12" s="6" t="s">
        <v>13</v>
      </c>
    </row>
    <row r="13">
      <c r="A13" s="5"/>
      <c r="B13" s="6"/>
    </row>
    <row r="14">
      <c r="A14" s="5"/>
      <c r="B14" s="6"/>
    </row>
    <row r="15">
      <c r="A15" s="3" t="s">
        <v>17</v>
      </c>
      <c r="B15" s="19">
        <f>max(B2*B3/(B5*B5),B7)</f>
        <v>1048576</v>
      </c>
      <c r="D15" s="9"/>
      <c r="E15" s="20"/>
    </row>
    <row r="16">
      <c r="A16" s="5" t="s">
        <v>18</v>
      </c>
      <c r="B16" s="21">
        <f>B2*B3/(B6*B6)</f>
        <v>1048576</v>
      </c>
    </row>
    <row r="17">
      <c r="A17" s="5" t="s">
        <v>19</v>
      </c>
      <c r="B17" s="6">
        <f>B2/B6</f>
        <v>1024</v>
      </c>
    </row>
    <row r="18">
      <c r="A18" s="18" t="s">
        <v>20</v>
      </c>
      <c r="B18" s="22">
        <f>B5*B6</f>
        <v>1</v>
      </c>
      <c r="D18" s="2"/>
      <c r="E18" s="2"/>
    </row>
    <row r="19">
      <c r="A19" s="1"/>
    </row>
    <row r="20">
      <c r="A20" s="1"/>
    </row>
    <row r="22">
      <c r="A22" s="23" t="s">
        <v>21</v>
      </c>
      <c r="B22" s="23" t="s">
        <v>22</v>
      </c>
      <c r="C22" s="23" t="s">
        <v>23</v>
      </c>
      <c r="D22" s="23" t="s">
        <v>24</v>
      </c>
      <c r="E22" s="23" t="s">
        <v>25</v>
      </c>
      <c r="F22" s="24" t="s">
        <v>26</v>
      </c>
      <c r="G22" s="24" t="s">
        <v>27</v>
      </c>
      <c r="H22" s="24" t="s">
        <v>28</v>
      </c>
      <c r="I22" s="24"/>
      <c r="J22" s="24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</row>
    <row r="23">
      <c r="A23" s="9" t="s">
        <v>4</v>
      </c>
    </row>
    <row r="24">
      <c r="A24" s="2" t="s">
        <v>29</v>
      </c>
      <c r="B24" s="26">
        <f t="shared" ref="B24:B38" si="1">$B$16</f>
        <v>1048576</v>
      </c>
      <c r="C24" s="2">
        <v>16.0</v>
      </c>
      <c r="D24" s="2" t="s">
        <v>30</v>
      </c>
      <c r="E24" s="26">
        <f>if($B$9="On",C24*B24/(1024*1024),0)   </f>
        <v>16</v>
      </c>
      <c r="F24" s="2" t="s">
        <v>31</v>
      </c>
      <c r="G24" s="27" t="s">
        <v>32</v>
      </c>
      <c r="H24" s="27" t="s">
        <v>33</v>
      </c>
      <c r="I24" s="27"/>
      <c r="J24" s="28"/>
      <c r="K24" s="28"/>
    </row>
    <row r="25">
      <c r="A25" s="2" t="s">
        <v>34</v>
      </c>
      <c r="B25" s="26">
        <f t="shared" si="1"/>
        <v>1048576</v>
      </c>
      <c r="C25" s="2">
        <v>16.0</v>
      </c>
      <c r="D25" s="2" t="s">
        <v>30</v>
      </c>
      <c r="E25" s="26">
        <f t="shared" ref="E25:E26" si="2">C25*B25/(1024*1024)</f>
        <v>16</v>
      </c>
      <c r="F25" s="2" t="s">
        <v>31</v>
      </c>
      <c r="G25" s="27" t="s">
        <v>32</v>
      </c>
      <c r="H25" s="27" t="s">
        <v>33</v>
      </c>
      <c r="I25" s="27"/>
      <c r="J25" s="28"/>
      <c r="K25" s="28"/>
    </row>
    <row r="26">
      <c r="A26" s="2" t="s">
        <v>35</v>
      </c>
      <c r="B26" s="26">
        <f t="shared" si="1"/>
        <v>1048576</v>
      </c>
      <c r="C26" s="2">
        <v>16.0</v>
      </c>
      <c r="D26" s="2" t="s">
        <v>30</v>
      </c>
      <c r="E26" s="26">
        <f t="shared" si="2"/>
        <v>16</v>
      </c>
      <c r="F26" s="2" t="s">
        <v>31</v>
      </c>
      <c r="G26" s="27" t="s">
        <v>32</v>
      </c>
      <c r="H26" s="27" t="s">
        <v>33</v>
      </c>
      <c r="I26" s="27"/>
      <c r="J26" s="28"/>
      <c r="K26" s="28"/>
    </row>
    <row r="27">
      <c r="A27" s="29" t="s">
        <v>36</v>
      </c>
      <c r="B27" s="26">
        <f t="shared" si="1"/>
        <v>1048576</v>
      </c>
      <c r="C27" s="2">
        <v>16.0</v>
      </c>
      <c r="D27" s="2" t="s">
        <v>30</v>
      </c>
      <c r="E27" s="26">
        <f>if(AND(B9="On",B12="On"),C27*B27/(1024*1024),0)</f>
        <v>16</v>
      </c>
      <c r="F27" s="2" t="s">
        <v>31</v>
      </c>
      <c r="G27" s="27" t="s">
        <v>32</v>
      </c>
      <c r="H27" s="27" t="s">
        <v>33</v>
      </c>
      <c r="I27" s="27"/>
      <c r="J27" s="28"/>
      <c r="K27" s="28"/>
    </row>
    <row r="28">
      <c r="A28" s="29" t="s">
        <v>37</v>
      </c>
      <c r="B28" s="26">
        <f t="shared" si="1"/>
        <v>1048576</v>
      </c>
      <c r="C28" s="2">
        <v>16.0</v>
      </c>
      <c r="D28" s="2" t="s">
        <v>30</v>
      </c>
      <c r="E28" s="26">
        <f>if(B12="On",C28*B28/(1024*1024),0)   </f>
        <v>16</v>
      </c>
      <c r="F28" s="2" t="s">
        <v>31</v>
      </c>
      <c r="G28" s="27" t="s">
        <v>32</v>
      </c>
      <c r="H28" s="27" t="s">
        <v>33</v>
      </c>
      <c r="I28" s="27"/>
      <c r="J28" s="28"/>
      <c r="K28" s="28"/>
    </row>
    <row r="29">
      <c r="A29" s="29" t="s">
        <v>38</v>
      </c>
      <c r="B29" s="26">
        <f t="shared" si="1"/>
        <v>1048576</v>
      </c>
      <c r="C29" s="2">
        <v>4.0</v>
      </c>
      <c r="D29" s="2" t="s">
        <v>39</v>
      </c>
      <c r="E29" s="26">
        <f>if(B11="On",C29*B29/(1024*1024),0)   </f>
        <v>4</v>
      </c>
      <c r="F29" s="2" t="s">
        <v>31</v>
      </c>
      <c r="G29" s="27" t="s">
        <v>32</v>
      </c>
      <c r="H29" s="27" t="s">
        <v>33</v>
      </c>
      <c r="I29" s="27"/>
      <c r="J29" s="28"/>
      <c r="K29" s="28"/>
    </row>
    <row r="30">
      <c r="A30" s="2" t="s">
        <v>40</v>
      </c>
      <c r="B30" s="26">
        <f t="shared" si="1"/>
        <v>1048576</v>
      </c>
      <c r="C30" s="2">
        <v>4.0</v>
      </c>
      <c r="D30" s="2" t="s">
        <v>39</v>
      </c>
      <c r="E30" s="26">
        <f t="shared" ref="E30:E33" si="3">C30*B30/(1024*1024)</f>
        <v>4</v>
      </c>
      <c r="F30" s="2" t="s">
        <v>31</v>
      </c>
      <c r="G30" s="27" t="s">
        <v>32</v>
      </c>
      <c r="H30" s="27" t="s">
        <v>33</v>
      </c>
      <c r="I30" s="27"/>
      <c r="J30" s="28"/>
      <c r="K30" s="28"/>
    </row>
    <row r="31">
      <c r="A31" s="2" t="s">
        <v>41</v>
      </c>
      <c r="B31" s="26">
        <f t="shared" si="1"/>
        <v>1048576</v>
      </c>
      <c r="C31" s="2">
        <v>1.0</v>
      </c>
      <c r="D31" s="2" t="s">
        <v>42</v>
      </c>
      <c r="E31" s="26">
        <f t="shared" si="3"/>
        <v>1</v>
      </c>
      <c r="F31" s="2" t="s">
        <v>31</v>
      </c>
      <c r="G31" s="2" t="s">
        <v>33</v>
      </c>
      <c r="H31" s="9" t="s">
        <v>32</v>
      </c>
      <c r="I31" s="27"/>
      <c r="J31" s="28"/>
      <c r="K31" s="28"/>
    </row>
    <row r="32">
      <c r="A32" s="2" t="s">
        <v>43</v>
      </c>
      <c r="B32" s="26">
        <f t="shared" si="1"/>
        <v>1048576</v>
      </c>
      <c r="C32" s="2">
        <v>4.0</v>
      </c>
      <c r="D32" s="2" t="s">
        <v>44</v>
      </c>
      <c r="E32" s="26">
        <f t="shared" si="3"/>
        <v>4</v>
      </c>
      <c r="F32" s="2" t="s">
        <v>31</v>
      </c>
      <c r="G32" s="27" t="s">
        <v>32</v>
      </c>
      <c r="H32" s="27" t="s">
        <v>33</v>
      </c>
      <c r="I32" s="27"/>
      <c r="J32" s="28"/>
      <c r="K32" s="28"/>
    </row>
    <row r="33">
      <c r="A33" s="2" t="s">
        <v>45</v>
      </c>
      <c r="B33" s="26">
        <f t="shared" si="1"/>
        <v>1048576</v>
      </c>
      <c r="C33" s="2">
        <v>1.0</v>
      </c>
      <c r="D33" s="2" t="s">
        <v>42</v>
      </c>
      <c r="E33" s="26">
        <f t="shared" si="3"/>
        <v>1</v>
      </c>
      <c r="F33" s="2" t="s">
        <v>31</v>
      </c>
      <c r="G33" s="27" t="s">
        <v>32</v>
      </c>
      <c r="H33" s="30" t="s">
        <v>32</v>
      </c>
      <c r="I33" s="27"/>
      <c r="J33" s="28"/>
      <c r="K33" s="28"/>
    </row>
    <row r="34">
      <c r="A34" s="29" t="s">
        <v>46</v>
      </c>
      <c r="B34" s="26">
        <f t="shared" si="1"/>
        <v>1048576</v>
      </c>
      <c r="C34" s="2">
        <v>16.0</v>
      </c>
      <c r="D34" s="2" t="s">
        <v>30</v>
      </c>
      <c r="E34" s="26">
        <f>if(B10="On",C34*B34/(1024*1024),0)   </f>
        <v>16</v>
      </c>
      <c r="F34" s="2" t="s">
        <v>47</v>
      </c>
      <c r="G34" s="27" t="s">
        <v>32</v>
      </c>
      <c r="H34" s="27" t="s">
        <v>33</v>
      </c>
      <c r="I34" s="27"/>
      <c r="J34" s="28"/>
      <c r="K34" s="28"/>
    </row>
    <row r="35">
      <c r="A35" s="2" t="s">
        <v>48</v>
      </c>
      <c r="B35" s="26">
        <f t="shared" si="1"/>
        <v>1048576</v>
      </c>
      <c r="C35" s="2">
        <v>4.0</v>
      </c>
      <c r="D35" s="2" t="s">
        <v>44</v>
      </c>
      <c r="E35" s="26">
        <f>if($B$9="On",C35*B35/(1024*1024),0)   </f>
        <v>4</v>
      </c>
      <c r="F35" s="2" t="s">
        <v>47</v>
      </c>
      <c r="G35" s="27" t="s">
        <v>32</v>
      </c>
      <c r="H35" s="27" t="s">
        <v>33</v>
      </c>
      <c r="I35" s="27"/>
      <c r="J35" s="28"/>
      <c r="K35" s="28"/>
    </row>
    <row r="36">
      <c r="A36" s="2" t="s">
        <v>49</v>
      </c>
      <c r="B36" s="26">
        <f t="shared" si="1"/>
        <v>1048576</v>
      </c>
      <c r="C36" s="2">
        <v>4.0</v>
      </c>
      <c r="D36" s="2" t="s">
        <v>44</v>
      </c>
      <c r="E36" s="26">
        <f t="shared" ref="E36:E38" si="4">C36*B36/(1024*1024)</f>
        <v>4</v>
      </c>
      <c r="F36" s="2" t="s">
        <v>47</v>
      </c>
      <c r="G36" s="27" t="s">
        <v>32</v>
      </c>
      <c r="H36" s="27" t="s">
        <v>33</v>
      </c>
      <c r="I36" s="27"/>
      <c r="J36" s="28"/>
      <c r="K36" s="28"/>
    </row>
    <row r="37">
      <c r="A37" s="2" t="s">
        <v>50</v>
      </c>
      <c r="B37" s="26">
        <f t="shared" si="1"/>
        <v>1048576</v>
      </c>
      <c r="C37" s="2">
        <v>4.0</v>
      </c>
      <c r="D37" s="2" t="s">
        <v>44</v>
      </c>
      <c r="E37" s="26">
        <f t="shared" si="4"/>
        <v>4</v>
      </c>
      <c r="F37" s="2" t="s">
        <v>47</v>
      </c>
      <c r="G37" s="27" t="s">
        <v>32</v>
      </c>
      <c r="H37" s="27" t="s">
        <v>33</v>
      </c>
      <c r="I37" s="27"/>
      <c r="J37" s="28"/>
      <c r="K37" s="28"/>
    </row>
    <row r="38">
      <c r="A38" s="2" t="s">
        <v>51</v>
      </c>
      <c r="B38" s="26">
        <f t="shared" si="1"/>
        <v>1048576</v>
      </c>
      <c r="C38" s="2">
        <v>12.0</v>
      </c>
      <c r="D38" s="2" t="s">
        <v>52</v>
      </c>
      <c r="E38" s="26">
        <f t="shared" si="4"/>
        <v>12</v>
      </c>
      <c r="F38" s="2" t="s">
        <v>47</v>
      </c>
      <c r="G38" s="27" t="s">
        <v>33</v>
      </c>
      <c r="H38" s="27" t="s">
        <v>33</v>
      </c>
      <c r="I38" s="27"/>
      <c r="J38" s="28"/>
      <c r="K38" s="28"/>
    </row>
    <row r="39">
      <c r="A39" s="2"/>
      <c r="C39" s="2"/>
      <c r="D39" s="2"/>
      <c r="G39" s="27"/>
      <c r="H39" s="27"/>
      <c r="I39" s="27"/>
      <c r="J39" s="28"/>
      <c r="K39" s="28"/>
    </row>
    <row r="40">
      <c r="A40" s="2" t="s">
        <v>53</v>
      </c>
      <c r="B40" s="26">
        <f t="shared" ref="B40:B42" si="5">$B$16*$B$4</f>
        <v>4194304</v>
      </c>
      <c r="C40" s="2">
        <v>4.0</v>
      </c>
      <c r="D40" s="2" t="s">
        <v>54</v>
      </c>
      <c r="E40" s="26">
        <f t="shared" ref="E40:E42" si="6">C40*B40/(1024*1024)</f>
        <v>16</v>
      </c>
      <c r="F40" s="2" t="s">
        <v>31</v>
      </c>
      <c r="G40" s="27" t="s">
        <v>33</v>
      </c>
      <c r="H40" s="27" t="s">
        <v>33</v>
      </c>
      <c r="I40" s="27"/>
      <c r="J40" s="28"/>
      <c r="R40" s="27"/>
      <c r="S40" s="27"/>
    </row>
    <row r="41">
      <c r="A41" s="2" t="s">
        <v>55</v>
      </c>
      <c r="B41" s="26">
        <f t="shared" si="5"/>
        <v>4194304</v>
      </c>
      <c r="C41" s="2">
        <v>4.0</v>
      </c>
      <c r="D41" s="2" t="s">
        <v>54</v>
      </c>
      <c r="E41" s="26">
        <f t="shared" si="6"/>
        <v>16</v>
      </c>
      <c r="F41" s="2" t="s">
        <v>31</v>
      </c>
      <c r="G41" s="2" t="s">
        <v>32</v>
      </c>
      <c r="H41" s="9" t="s">
        <v>32</v>
      </c>
      <c r="I41" s="27"/>
      <c r="J41" s="28"/>
      <c r="R41" s="27"/>
      <c r="S41" s="27"/>
    </row>
    <row r="42">
      <c r="A42" s="2" t="s">
        <v>56</v>
      </c>
      <c r="B42" s="26">
        <f t="shared" si="5"/>
        <v>4194304</v>
      </c>
      <c r="C42" s="2">
        <v>16.0</v>
      </c>
      <c r="D42" s="2" t="s">
        <v>30</v>
      </c>
      <c r="E42" s="26">
        <f t="shared" si="6"/>
        <v>64</v>
      </c>
      <c r="F42" s="2" t="s">
        <v>47</v>
      </c>
      <c r="G42" s="2" t="s">
        <v>33</v>
      </c>
      <c r="H42" s="9" t="s">
        <v>32</v>
      </c>
      <c r="I42" s="27"/>
      <c r="J42" s="28"/>
      <c r="K42" s="28"/>
    </row>
    <row r="43">
      <c r="A43" s="2"/>
      <c r="C43" s="2"/>
      <c r="D43" s="2"/>
      <c r="G43" s="27"/>
      <c r="H43" s="27"/>
      <c r="I43" s="27"/>
      <c r="J43" s="28"/>
      <c r="K43" s="28"/>
    </row>
    <row r="44">
      <c r="A44" s="2"/>
      <c r="C44" s="2"/>
      <c r="D44" s="9" t="s">
        <v>57</v>
      </c>
      <c r="E44" s="20">
        <f>sum(E24:E42)</f>
        <v>230</v>
      </c>
      <c r="G44" s="27"/>
      <c r="H44" s="27"/>
      <c r="I44" s="27"/>
      <c r="J44" s="31"/>
      <c r="K44" s="28"/>
    </row>
    <row r="45">
      <c r="A45" s="32"/>
      <c r="B45" s="33"/>
      <c r="C45" s="32"/>
      <c r="D45" s="34"/>
      <c r="E45" s="35"/>
      <c r="F45" s="34"/>
      <c r="G45" s="35"/>
      <c r="H45" s="35"/>
      <c r="I45" s="36"/>
      <c r="J45" s="37"/>
      <c r="K45" s="38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</row>
    <row r="46">
      <c r="A46" s="2"/>
      <c r="C46" s="2"/>
      <c r="D46" s="2"/>
    </row>
    <row r="47">
      <c r="A47" s="9" t="s">
        <v>6</v>
      </c>
      <c r="C47" s="2"/>
      <c r="D47" s="2"/>
    </row>
    <row r="48">
      <c r="A48" s="9" t="s">
        <v>58</v>
      </c>
      <c r="B48" s="26">
        <f t="shared" ref="B48:B65" si="7">$B$15</f>
        <v>1048576</v>
      </c>
      <c r="C48" s="2">
        <f>48*4</f>
        <v>192</v>
      </c>
      <c r="D48" s="2"/>
      <c r="E48" s="26">
        <f t="shared" ref="E48:E49" si="8">C48*B48/(1024*1024)</f>
        <v>192</v>
      </c>
      <c r="F48" s="2" t="s">
        <v>47</v>
      </c>
      <c r="G48" s="27" t="s">
        <v>33</v>
      </c>
      <c r="H48" s="30" t="s">
        <v>32</v>
      </c>
      <c r="I48" s="27">
        <f t="shared" ref="I48:I65" si="9">if(G48="No",E48,0)</f>
        <v>192</v>
      </c>
    </row>
    <row r="49">
      <c r="A49" s="2" t="s">
        <v>59</v>
      </c>
      <c r="B49" s="26">
        <f t="shared" si="7"/>
        <v>1048576</v>
      </c>
      <c r="C49" s="2">
        <v>16.0</v>
      </c>
      <c r="D49" s="2" t="s">
        <v>30</v>
      </c>
      <c r="E49" s="26">
        <f t="shared" si="8"/>
        <v>16</v>
      </c>
      <c r="F49" s="2" t="s">
        <v>31</v>
      </c>
      <c r="G49" s="27" t="s">
        <v>33</v>
      </c>
      <c r="H49" s="27" t="s">
        <v>33</v>
      </c>
      <c r="I49" s="27">
        <f t="shared" si="9"/>
        <v>16</v>
      </c>
    </row>
    <row r="50">
      <c r="A50" s="29" t="s">
        <v>60</v>
      </c>
      <c r="B50" s="26">
        <f t="shared" si="7"/>
        <v>1048576</v>
      </c>
      <c r="C50" s="2">
        <v>16.0</v>
      </c>
      <c r="D50" s="2" t="s">
        <v>30</v>
      </c>
      <c r="E50" s="26">
        <f>if(B12=0,0,C50*B50/(1024*1024))   </f>
        <v>16</v>
      </c>
      <c r="F50" s="2" t="s">
        <v>31</v>
      </c>
      <c r="G50" s="27" t="s">
        <v>33</v>
      </c>
      <c r="H50" s="27" t="s">
        <v>33</v>
      </c>
      <c r="I50" s="27">
        <f t="shared" si="9"/>
        <v>16</v>
      </c>
    </row>
    <row r="51">
      <c r="A51" s="2" t="s">
        <v>61</v>
      </c>
      <c r="B51" s="26">
        <f t="shared" si="7"/>
        <v>1048576</v>
      </c>
      <c r="C51" s="2">
        <v>48.0</v>
      </c>
      <c r="D51" s="2" t="s">
        <v>62</v>
      </c>
      <c r="E51" s="26">
        <f t="shared" ref="E51:E65" si="10">C51*B51/(1024*1024)</f>
        <v>48</v>
      </c>
      <c r="F51" s="2" t="s">
        <v>47</v>
      </c>
      <c r="G51" s="27" t="s">
        <v>33</v>
      </c>
      <c r="H51" s="27" t="s">
        <v>33</v>
      </c>
      <c r="I51" s="27">
        <f t="shared" si="9"/>
        <v>48</v>
      </c>
    </row>
    <row r="52">
      <c r="A52" s="2" t="s">
        <v>63</v>
      </c>
      <c r="B52" s="26">
        <f t="shared" si="7"/>
        <v>1048576</v>
      </c>
      <c r="C52" s="2">
        <v>48.0</v>
      </c>
      <c r="D52" s="2" t="s">
        <v>62</v>
      </c>
      <c r="E52" s="26">
        <f t="shared" si="10"/>
        <v>48</v>
      </c>
      <c r="F52" s="2" t="s">
        <v>47</v>
      </c>
      <c r="G52" s="27" t="s">
        <v>33</v>
      </c>
      <c r="H52" s="27" t="s">
        <v>33</v>
      </c>
      <c r="I52" s="27">
        <f t="shared" si="9"/>
        <v>48</v>
      </c>
    </row>
    <row r="53">
      <c r="A53" s="2" t="s">
        <v>64</v>
      </c>
      <c r="B53" s="26">
        <f t="shared" si="7"/>
        <v>1048576</v>
      </c>
      <c r="C53" s="2">
        <v>48.0</v>
      </c>
      <c r="D53" s="2" t="s">
        <v>62</v>
      </c>
      <c r="E53" s="26">
        <f t="shared" si="10"/>
        <v>48</v>
      </c>
      <c r="F53" s="2" t="s">
        <v>47</v>
      </c>
      <c r="G53" s="2" t="s">
        <v>33</v>
      </c>
      <c r="H53" s="9" t="s">
        <v>32</v>
      </c>
      <c r="I53" s="27">
        <f t="shared" si="9"/>
        <v>48</v>
      </c>
    </row>
    <row r="54">
      <c r="A54" s="2" t="s">
        <v>65</v>
      </c>
      <c r="B54" s="26">
        <f t="shared" si="7"/>
        <v>1048576</v>
      </c>
      <c r="C54" s="2">
        <v>32.0</v>
      </c>
      <c r="D54" s="2" t="s">
        <v>66</v>
      </c>
      <c r="E54" s="26">
        <f t="shared" si="10"/>
        <v>32</v>
      </c>
      <c r="F54" s="2" t="s">
        <v>47</v>
      </c>
      <c r="G54" s="27" t="s">
        <v>33</v>
      </c>
      <c r="H54" s="27" t="s">
        <v>33</v>
      </c>
      <c r="I54" s="27">
        <f t="shared" si="9"/>
        <v>32</v>
      </c>
    </row>
    <row r="55">
      <c r="A55" s="2" t="s">
        <v>67</v>
      </c>
      <c r="B55" s="26">
        <f t="shared" si="7"/>
        <v>1048576</v>
      </c>
      <c r="C55" s="2">
        <v>16.0</v>
      </c>
      <c r="D55" s="2" t="s">
        <v>30</v>
      </c>
      <c r="E55" s="26">
        <f t="shared" si="10"/>
        <v>16</v>
      </c>
      <c r="F55" s="2" t="s">
        <v>47</v>
      </c>
      <c r="G55" s="2" t="s">
        <v>33</v>
      </c>
      <c r="H55" s="9" t="s">
        <v>32</v>
      </c>
      <c r="I55" s="27">
        <f t="shared" si="9"/>
        <v>16</v>
      </c>
    </row>
    <row r="56">
      <c r="A56" s="29" t="s">
        <v>68</v>
      </c>
      <c r="B56" s="26">
        <f t="shared" si="7"/>
        <v>1048576</v>
      </c>
      <c r="C56" s="2">
        <v>16.0</v>
      </c>
      <c r="D56" s="2" t="s">
        <v>30</v>
      </c>
      <c r="E56" s="26">
        <f t="shared" si="10"/>
        <v>16</v>
      </c>
      <c r="F56" s="2" t="s">
        <v>47</v>
      </c>
      <c r="G56" s="27" t="s">
        <v>33</v>
      </c>
      <c r="H56" s="27" t="s">
        <v>33</v>
      </c>
      <c r="I56" s="27">
        <f t="shared" si="9"/>
        <v>16</v>
      </c>
    </row>
    <row r="57">
      <c r="A57" s="2" t="s">
        <v>69</v>
      </c>
      <c r="B57" s="26">
        <f t="shared" si="7"/>
        <v>1048576</v>
      </c>
      <c r="C57" s="2">
        <v>16.0</v>
      </c>
      <c r="D57" s="2" t="s">
        <v>30</v>
      </c>
      <c r="E57" s="26">
        <f t="shared" si="10"/>
        <v>16</v>
      </c>
      <c r="F57" s="2" t="s">
        <v>47</v>
      </c>
      <c r="G57" s="27" t="s">
        <v>33</v>
      </c>
      <c r="H57" s="27" t="s">
        <v>33</v>
      </c>
      <c r="I57" s="27">
        <f t="shared" si="9"/>
        <v>16</v>
      </c>
    </row>
    <row r="58">
      <c r="A58" s="2" t="s">
        <v>70</v>
      </c>
      <c r="B58" s="26">
        <f t="shared" si="7"/>
        <v>1048576</v>
      </c>
      <c r="C58" s="2">
        <v>4.0</v>
      </c>
      <c r="D58" s="2" t="s">
        <v>71</v>
      </c>
      <c r="E58" s="26">
        <f t="shared" si="10"/>
        <v>4</v>
      </c>
      <c r="F58" s="2" t="s">
        <v>47</v>
      </c>
      <c r="G58" s="27" t="s">
        <v>33</v>
      </c>
      <c r="H58" s="27" t="s">
        <v>33</v>
      </c>
      <c r="I58" s="27">
        <f t="shared" si="9"/>
        <v>4</v>
      </c>
    </row>
    <row r="59">
      <c r="A59" s="2" t="s">
        <v>72</v>
      </c>
      <c r="B59" s="26">
        <f t="shared" si="7"/>
        <v>1048576</v>
      </c>
      <c r="C59" s="2">
        <v>4.0</v>
      </c>
      <c r="D59" s="2" t="s">
        <v>54</v>
      </c>
      <c r="E59" s="26">
        <f t="shared" si="10"/>
        <v>4</v>
      </c>
      <c r="F59" s="2" t="s">
        <v>47</v>
      </c>
      <c r="G59" s="27" t="s">
        <v>33</v>
      </c>
      <c r="H59" s="27" t="s">
        <v>33</v>
      </c>
      <c r="I59" s="27">
        <f t="shared" si="9"/>
        <v>4</v>
      </c>
    </row>
    <row r="60">
      <c r="A60" s="2" t="s">
        <v>73</v>
      </c>
      <c r="B60" s="26">
        <f t="shared" si="7"/>
        <v>1048576</v>
      </c>
      <c r="C60" s="2">
        <v>4.0</v>
      </c>
      <c r="D60" s="2" t="s">
        <v>54</v>
      </c>
      <c r="E60" s="26">
        <f t="shared" si="10"/>
        <v>4</v>
      </c>
      <c r="F60" s="2" t="s">
        <v>47</v>
      </c>
      <c r="G60" s="27" t="s">
        <v>33</v>
      </c>
      <c r="H60" s="27" t="s">
        <v>33</v>
      </c>
      <c r="I60" s="27">
        <f t="shared" si="9"/>
        <v>4</v>
      </c>
    </row>
    <row r="61">
      <c r="A61" s="2" t="s">
        <v>74</v>
      </c>
      <c r="B61" s="26">
        <f t="shared" si="7"/>
        <v>1048576</v>
      </c>
      <c r="C61" s="2">
        <v>1.0</v>
      </c>
      <c r="D61" s="2" t="s">
        <v>42</v>
      </c>
      <c r="E61" s="26">
        <f t="shared" si="10"/>
        <v>1</v>
      </c>
      <c r="F61" s="2" t="s">
        <v>47</v>
      </c>
      <c r="G61" s="27" t="s">
        <v>33</v>
      </c>
      <c r="H61" s="27" t="s">
        <v>33</v>
      </c>
      <c r="I61" s="27">
        <f t="shared" si="9"/>
        <v>1</v>
      </c>
    </row>
    <row r="62">
      <c r="A62" s="2" t="s">
        <v>75</v>
      </c>
      <c r="B62" s="26">
        <f t="shared" si="7"/>
        <v>1048576</v>
      </c>
      <c r="C62" s="2">
        <v>4.0</v>
      </c>
      <c r="D62" s="2" t="s">
        <v>71</v>
      </c>
      <c r="E62" s="26">
        <f t="shared" si="10"/>
        <v>4</v>
      </c>
      <c r="F62" s="2" t="s">
        <v>47</v>
      </c>
      <c r="G62" s="27" t="s">
        <v>33</v>
      </c>
      <c r="H62" s="27" t="s">
        <v>33</v>
      </c>
      <c r="I62" s="27">
        <f t="shared" si="9"/>
        <v>4</v>
      </c>
    </row>
    <row r="63">
      <c r="A63" s="2" t="s">
        <v>76</v>
      </c>
      <c r="B63" s="26">
        <f t="shared" si="7"/>
        <v>1048576</v>
      </c>
      <c r="C63" s="2">
        <v>8.0</v>
      </c>
      <c r="D63" s="2" t="s">
        <v>77</v>
      </c>
      <c r="E63" s="26">
        <f t="shared" si="10"/>
        <v>8</v>
      </c>
      <c r="F63" s="2" t="s">
        <v>47</v>
      </c>
      <c r="G63" s="27" t="s">
        <v>33</v>
      </c>
      <c r="H63" s="27" t="s">
        <v>33</v>
      </c>
      <c r="I63" s="27">
        <f t="shared" si="9"/>
        <v>8</v>
      </c>
    </row>
    <row r="64">
      <c r="A64" s="2" t="s">
        <v>78</v>
      </c>
      <c r="B64" s="26">
        <f t="shared" si="7"/>
        <v>1048576</v>
      </c>
      <c r="C64" s="2">
        <v>8.0</v>
      </c>
      <c r="D64" s="2" t="s">
        <v>79</v>
      </c>
      <c r="E64" s="26">
        <f t="shared" si="10"/>
        <v>8</v>
      </c>
      <c r="F64" s="2" t="s">
        <v>47</v>
      </c>
      <c r="G64" s="27" t="s">
        <v>33</v>
      </c>
      <c r="H64" s="27" t="s">
        <v>33</v>
      </c>
      <c r="I64" s="27">
        <f t="shared" si="9"/>
        <v>8</v>
      </c>
    </row>
    <row r="65">
      <c r="A65" s="2" t="s">
        <v>80</v>
      </c>
      <c r="B65" s="26">
        <f t="shared" si="7"/>
        <v>1048576</v>
      </c>
      <c r="C65" s="2">
        <v>16.0</v>
      </c>
      <c r="D65" s="2" t="s">
        <v>30</v>
      </c>
      <c r="E65" s="26">
        <f t="shared" si="10"/>
        <v>16</v>
      </c>
      <c r="F65" s="2" t="s">
        <v>47</v>
      </c>
      <c r="G65" s="27" t="s">
        <v>33</v>
      </c>
      <c r="H65" s="27" t="s">
        <v>33</v>
      </c>
      <c r="I65" s="27">
        <f t="shared" si="9"/>
        <v>16</v>
      </c>
    </row>
    <row r="66">
      <c r="A66" s="2"/>
    </row>
    <row r="67">
      <c r="A67" s="2"/>
      <c r="D67" s="9" t="s">
        <v>57</v>
      </c>
      <c r="E67" s="20">
        <f>sum(E48:E65)</f>
        <v>497</v>
      </c>
    </row>
    <row r="68">
      <c r="A68" s="32"/>
      <c r="B68" s="33"/>
      <c r="C68" s="33"/>
      <c r="D68" s="34"/>
      <c r="E68" s="35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/>
      <c r="AA68" s="33"/>
      <c r="AB68" s="33"/>
    </row>
    <row r="69">
      <c r="A69" s="2"/>
    </row>
    <row r="70">
      <c r="A70" s="2" t="s">
        <v>81</v>
      </c>
      <c r="B70" s="2">
        <v>1.0</v>
      </c>
      <c r="C70" s="2">
        <v>4.0</v>
      </c>
      <c r="D70" s="2" t="s">
        <v>71</v>
      </c>
      <c r="E70" s="26">
        <f t="shared" ref="E70:E78" si="11">C70*B70/(1024*1024)</f>
        <v>0.000003814697266</v>
      </c>
      <c r="F70" s="2" t="s">
        <v>31</v>
      </c>
      <c r="G70" s="2" t="s">
        <v>33</v>
      </c>
      <c r="H70" s="2" t="s">
        <v>32</v>
      </c>
      <c r="I70" s="27">
        <f t="shared" ref="I70:I78" si="12">if(G70="No",E70,0)</f>
        <v>0.000003814697266</v>
      </c>
    </row>
    <row r="71">
      <c r="A71" s="2" t="s">
        <v>82</v>
      </c>
      <c r="B71" s="2">
        <v>1.0</v>
      </c>
      <c r="C71" s="2">
        <v>64.0</v>
      </c>
      <c r="D71" s="2" t="s">
        <v>83</v>
      </c>
      <c r="E71" s="26">
        <f t="shared" si="11"/>
        <v>0.00006103515625</v>
      </c>
      <c r="F71" s="2" t="s">
        <v>31</v>
      </c>
      <c r="G71" s="2" t="s">
        <v>32</v>
      </c>
      <c r="H71" s="2" t="s">
        <v>33</v>
      </c>
      <c r="I71" s="27">
        <f t="shared" si="12"/>
        <v>0</v>
      </c>
    </row>
    <row r="72">
      <c r="A72" s="2" t="s">
        <v>84</v>
      </c>
      <c r="B72" s="2">
        <v>1.0</v>
      </c>
      <c r="C72" s="2">
        <v>4.0</v>
      </c>
      <c r="D72" s="2" t="s">
        <v>71</v>
      </c>
      <c r="E72" s="26">
        <f t="shared" si="11"/>
        <v>0.000003814697266</v>
      </c>
      <c r="F72" s="2" t="s">
        <v>47</v>
      </c>
      <c r="G72" s="27" t="s">
        <v>33</v>
      </c>
      <c r="H72" s="27" t="s">
        <v>33</v>
      </c>
      <c r="I72" s="27">
        <f t="shared" si="12"/>
        <v>0.000003814697266</v>
      </c>
    </row>
    <row r="73">
      <c r="A73" s="2" t="s">
        <v>85</v>
      </c>
      <c r="B73" s="2">
        <v>1.0</v>
      </c>
      <c r="C73" s="2">
        <v>4.0</v>
      </c>
      <c r="D73" s="2" t="s">
        <v>71</v>
      </c>
      <c r="E73" s="26">
        <f t="shared" si="11"/>
        <v>0.000003814697266</v>
      </c>
      <c r="F73" s="2" t="s">
        <v>47</v>
      </c>
      <c r="G73" s="27" t="s">
        <v>33</v>
      </c>
      <c r="H73" s="27" t="s">
        <v>33</v>
      </c>
      <c r="I73" s="27">
        <f t="shared" si="12"/>
        <v>0.000003814697266</v>
      </c>
    </row>
    <row r="74">
      <c r="A74" s="2" t="s">
        <v>86</v>
      </c>
      <c r="B74" s="2">
        <v>1.0</v>
      </c>
      <c r="C74" s="2">
        <v>4.0</v>
      </c>
      <c r="D74" s="2" t="s">
        <v>71</v>
      </c>
      <c r="E74" s="26">
        <f t="shared" si="11"/>
        <v>0.000003814697266</v>
      </c>
      <c r="F74" s="2" t="s">
        <v>47</v>
      </c>
      <c r="G74" s="2" t="s">
        <v>33</v>
      </c>
      <c r="H74" s="27" t="s">
        <v>32</v>
      </c>
      <c r="I74" s="27">
        <f t="shared" si="12"/>
        <v>0.000003814697266</v>
      </c>
    </row>
    <row r="75">
      <c r="A75" s="2" t="s">
        <v>87</v>
      </c>
      <c r="B75" s="2">
        <v>1.0</v>
      </c>
      <c r="C75" s="2">
        <v>4.0</v>
      </c>
      <c r="D75" s="2" t="s">
        <v>71</v>
      </c>
      <c r="E75" s="26">
        <f t="shared" si="11"/>
        <v>0.000003814697266</v>
      </c>
      <c r="F75" s="2" t="s">
        <v>47</v>
      </c>
      <c r="G75" s="27" t="s">
        <v>33</v>
      </c>
      <c r="H75" s="27" t="s">
        <v>33</v>
      </c>
      <c r="I75" s="27">
        <f t="shared" si="12"/>
        <v>0.000003814697266</v>
      </c>
    </row>
    <row r="76">
      <c r="A76" s="2" t="s">
        <v>88</v>
      </c>
      <c r="B76" s="2">
        <v>1.0</v>
      </c>
      <c r="C76" s="2">
        <v>4.0</v>
      </c>
      <c r="D76" s="2" t="s">
        <v>71</v>
      </c>
      <c r="E76" s="26">
        <f t="shared" si="11"/>
        <v>0.000003814697266</v>
      </c>
      <c r="F76" s="2" t="s">
        <v>47</v>
      </c>
      <c r="G76" s="27" t="s">
        <v>33</v>
      </c>
      <c r="H76" s="27" t="s">
        <v>33</v>
      </c>
      <c r="I76" s="27">
        <f t="shared" si="12"/>
        <v>0.000003814697266</v>
      </c>
    </row>
    <row r="77">
      <c r="A77" s="2" t="s">
        <v>89</v>
      </c>
      <c r="B77" s="2">
        <v>1.0</v>
      </c>
      <c r="C77" s="2">
        <v>4.0</v>
      </c>
      <c r="D77" s="2" t="s">
        <v>71</v>
      </c>
      <c r="E77" s="26">
        <f t="shared" si="11"/>
        <v>0.000003814697266</v>
      </c>
      <c r="F77" s="2" t="s">
        <v>47</v>
      </c>
      <c r="G77" s="27" t="s">
        <v>33</v>
      </c>
      <c r="H77" s="27" t="s">
        <v>33</v>
      </c>
      <c r="I77" s="27">
        <f t="shared" si="12"/>
        <v>0.000003814697266</v>
      </c>
    </row>
    <row r="78">
      <c r="A78" s="2" t="s">
        <v>90</v>
      </c>
      <c r="B78" s="2">
        <v>1.0</v>
      </c>
      <c r="C78" s="2">
        <v>4.0</v>
      </c>
      <c r="D78" s="2" t="s">
        <v>71</v>
      </c>
      <c r="E78" s="26">
        <f t="shared" si="11"/>
        <v>0.000003814697266</v>
      </c>
      <c r="F78" s="2" t="s">
        <v>47</v>
      </c>
      <c r="G78" s="27" t="s">
        <v>33</v>
      </c>
      <c r="H78" s="27" t="s">
        <v>33</v>
      </c>
      <c r="I78" s="27">
        <f t="shared" si="12"/>
        <v>0.000003814697266</v>
      </c>
    </row>
    <row r="79">
      <c r="A79" s="2" t="s">
        <v>91</v>
      </c>
      <c r="E79" s="2">
        <v>12.0</v>
      </c>
      <c r="F79" s="2" t="s">
        <v>92</v>
      </c>
      <c r="I79" s="27"/>
    </row>
    <row r="80">
      <c r="A80" s="2" t="s">
        <v>93</v>
      </c>
      <c r="E80" s="2">
        <v>0.203</v>
      </c>
      <c r="F80" s="2" t="s">
        <v>92</v>
      </c>
      <c r="I80" s="27"/>
    </row>
    <row r="81">
      <c r="A81" s="2" t="s">
        <v>94</v>
      </c>
      <c r="E81" s="2">
        <v>0.063</v>
      </c>
      <c r="F81" s="2" t="s">
        <v>92</v>
      </c>
      <c r="I81" s="27"/>
    </row>
    <row r="82">
      <c r="A82" s="2" t="s">
        <v>95</v>
      </c>
      <c r="E82" s="2">
        <v>1.125</v>
      </c>
      <c r="F82" s="2" t="s">
        <v>92</v>
      </c>
      <c r="I82" s="27"/>
    </row>
    <row r="83">
      <c r="A83" s="2" t="s">
        <v>96</v>
      </c>
      <c r="E83" s="2">
        <v>1.125</v>
      </c>
      <c r="F83" s="2" t="s">
        <v>92</v>
      </c>
      <c r="I83" s="27"/>
    </row>
    <row r="84">
      <c r="D84" s="34" t="s">
        <v>57</v>
      </c>
      <c r="E84" s="35">
        <f>sum(E70:E83)</f>
        <v>14.51609155</v>
      </c>
      <c r="I84" s="27"/>
    </row>
    <row r="85">
      <c r="D85" s="34" t="s">
        <v>97</v>
      </c>
      <c r="E85" s="35">
        <f>SUM(E70:E80)-sum(I69:I80)</f>
        <v>12.20306104</v>
      </c>
      <c r="I85" s="27"/>
    </row>
    <row r="86">
      <c r="I86" s="27"/>
    </row>
    <row r="87">
      <c r="I87" s="27"/>
    </row>
    <row r="90">
      <c r="A90" s="9" t="s">
        <v>98</v>
      </c>
    </row>
    <row r="92">
      <c r="A92" s="2" t="s">
        <v>99</v>
      </c>
      <c r="B92" s="2">
        <v>122.843</v>
      </c>
      <c r="C92" s="2" t="s">
        <v>100</v>
      </c>
    </row>
    <row r="93">
      <c r="A93" s="2" t="s">
        <v>101</v>
      </c>
      <c r="B93" s="2">
        <v>3.182</v>
      </c>
      <c r="C93" s="2" t="s">
        <v>100</v>
      </c>
    </row>
    <row r="94">
      <c r="A94" s="2" t="s">
        <v>102</v>
      </c>
      <c r="B94" s="2">
        <v>80.0</v>
      </c>
      <c r="C94" s="2" t="s">
        <v>100</v>
      </c>
    </row>
    <row r="95">
      <c r="A95" s="2" t="s">
        <v>103</v>
      </c>
      <c r="B95" s="2">
        <v>0.003</v>
      </c>
      <c r="C95" s="2" t="s">
        <v>100</v>
      </c>
    </row>
    <row r="96">
      <c r="A96" s="2" t="s">
        <v>104</v>
      </c>
      <c r="B96" s="2">
        <v>0.001</v>
      </c>
      <c r="C96" s="2" t="s">
        <v>100</v>
      </c>
    </row>
    <row r="97">
      <c r="A97" s="2" t="s">
        <v>105</v>
      </c>
      <c r="B97" s="2">
        <v>0.001</v>
      </c>
      <c r="C97" s="2" t="s">
        <v>100</v>
      </c>
    </row>
    <row r="98">
      <c r="A98" s="2" t="s">
        <v>106</v>
      </c>
      <c r="B98" s="2">
        <v>0.001</v>
      </c>
      <c r="C98" s="2" t="s">
        <v>100</v>
      </c>
    </row>
    <row r="99">
      <c r="A99" s="2" t="s">
        <v>107</v>
      </c>
      <c r="B99" s="2">
        <v>0.001</v>
      </c>
      <c r="C99" s="2" t="s">
        <v>100</v>
      </c>
    </row>
    <row r="100">
      <c r="A100" s="2" t="s">
        <v>108</v>
      </c>
      <c r="B100" s="2">
        <v>0.003</v>
      </c>
      <c r="C100" s="2" t="s">
        <v>100</v>
      </c>
    </row>
    <row r="102">
      <c r="A102" s="2" t="s">
        <v>109</v>
      </c>
      <c r="B102" s="2" t="s">
        <v>110</v>
      </c>
      <c r="C102" s="2">
        <v>2.104</v>
      </c>
      <c r="D102" s="2" t="s">
        <v>100</v>
      </c>
    </row>
    <row r="103">
      <c r="A103" s="2" t="s">
        <v>111</v>
      </c>
      <c r="B103" s="2">
        <v>2.096</v>
      </c>
      <c r="C103" s="2" t="s">
        <v>100</v>
      </c>
    </row>
    <row r="104">
      <c r="A104" s="2" t="s">
        <v>112</v>
      </c>
      <c r="B104" s="2">
        <v>0.008</v>
      </c>
      <c r="C104" s="2" t="s">
        <v>100</v>
      </c>
    </row>
    <row r="106">
      <c r="A106" s="2" t="s">
        <v>109</v>
      </c>
      <c r="B106" s="2" t="s">
        <v>113</v>
      </c>
      <c r="C106" s="2">
        <v>148.374</v>
      </c>
      <c r="D106" s="2" t="s">
        <v>100</v>
      </c>
    </row>
    <row r="107">
      <c r="A107" s="2" t="s">
        <v>114</v>
      </c>
      <c r="B107" s="2">
        <v>0.019</v>
      </c>
      <c r="C107" s="2" t="s">
        <v>100</v>
      </c>
    </row>
    <row r="108">
      <c r="A108" s="2" t="s">
        <v>115</v>
      </c>
      <c r="B108" s="2">
        <v>0.019</v>
      </c>
      <c r="C108" s="2" t="s">
        <v>100</v>
      </c>
    </row>
    <row r="109">
      <c r="A109" s="2" t="s">
        <v>116</v>
      </c>
      <c r="B109" s="2">
        <v>0.019</v>
      </c>
      <c r="C109" s="2" t="s">
        <v>100</v>
      </c>
    </row>
    <row r="110">
      <c r="A110" s="2" t="s">
        <v>117</v>
      </c>
      <c r="B110" s="2">
        <v>0.019</v>
      </c>
      <c r="C110" s="2" t="s">
        <v>100</v>
      </c>
    </row>
    <row r="111">
      <c r="A111" s="2" t="s">
        <v>118</v>
      </c>
      <c r="B111" s="2">
        <v>3.2</v>
      </c>
      <c r="C111" s="2" t="s">
        <v>100</v>
      </c>
    </row>
    <row r="112">
      <c r="A112" s="2" t="s">
        <v>119</v>
      </c>
      <c r="B112" s="2">
        <v>3.2</v>
      </c>
      <c r="C112" s="2" t="s">
        <v>100</v>
      </c>
    </row>
    <row r="113">
      <c r="A113" s="2" t="s">
        <v>120</v>
      </c>
      <c r="B113" s="2">
        <v>4.8</v>
      </c>
      <c r="C113" s="2" t="s">
        <v>100</v>
      </c>
    </row>
    <row r="114">
      <c r="A114" s="2" t="s">
        <v>121</v>
      </c>
      <c r="B114" s="2">
        <v>1.6</v>
      </c>
      <c r="C114" s="2" t="s">
        <v>100</v>
      </c>
    </row>
    <row r="115">
      <c r="A115" s="2" t="s">
        <v>122</v>
      </c>
      <c r="B115" s="2">
        <v>6.436</v>
      </c>
      <c r="C115" s="2" t="s">
        <v>100</v>
      </c>
    </row>
    <row r="116">
      <c r="A116" s="2" t="s">
        <v>123</v>
      </c>
      <c r="B116" s="2">
        <v>0.01</v>
      </c>
      <c r="C116" s="2" t="s">
        <v>100</v>
      </c>
    </row>
    <row r="117">
      <c r="A117" s="2" t="s">
        <v>124</v>
      </c>
      <c r="B117" s="2">
        <v>0.077</v>
      </c>
      <c r="C117" s="2" t="s">
        <v>100</v>
      </c>
    </row>
    <row r="118">
      <c r="A118" s="2" t="s">
        <v>125</v>
      </c>
      <c r="B118" s="2">
        <v>128.975</v>
      </c>
      <c r="C118" s="2" t="s">
        <v>100</v>
      </c>
    </row>
    <row r="120">
      <c r="B120" s="20">
        <f>sum(B92:B100)+sum(B103:B104)+sum(B107:B118)</f>
        <v>356.513</v>
      </c>
      <c r="C120" s="9" t="s">
        <v>100</v>
      </c>
    </row>
  </sheetData>
  <mergeCells count="1">
    <mergeCell ref="A8:B8"/>
  </mergeCells>
  <dataValidations>
    <dataValidation type="list" allowBlank="1" sqref="B2">
      <formula1>"128,256,512,1024,2048,4096"</formula1>
    </dataValidation>
    <dataValidation type="list" allowBlank="1" sqref="B4">
      <formula1>"1,4,16"</formula1>
    </dataValidation>
    <dataValidation type="list" allowBlank="1" sqref="B9:B12">
      <formula1>"On,Off"</formula1>
    </dataValidation>
    <dataValidation type="list" allowBlank="1" sqref="B5:B6">
      <formula1>"1,2,4,8,16"</formula1>
    </dataValidation>
  </dataValidation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45.29"/>
    <col customWidth="1" min="3" max="3" width="19.43"/>
    <col customWidth="1" min="4" max="4" width="31.14"/>
    <col customWidth="1" min="5" max="5" width="16.29"/>
    <col customWidth="1" min="6" max="6" width="28.43"/>
    <col customWidth="1" min="7" max="8" width="22.57"/>
    <col customWidth="1" min="9" max="9" width="23.14"/>
  </cols>
  <sheetData>
    <row r="1">
      <c r="A1" s="1" t="s">
        <v>0</v>
      </c>
      <c r="B1" s="2"/>
    </row>
    <row r="2">
      <c r="A2" s="3" t="s">
        <v>126</v>
      </c>
      <c r="B2" s="4">
        <v>0.0</v>
      </c>
    </row>
    <row r="3">
      <c r="A3" s="5" t="s">
        <v>3</v>
      </c>
      <c r="B3" s="6">
        <v>4.0</v>
      </c>
    </row>
    <row r="4">
      <c r="D4" s="7" t="s">
        <v>4</v>
      </c>
      <c r="E4" s="8">
        <f>E37</f>
        <v>6.411518097</v>
      </c>
      <c r="G4" s="9"/>
      <c r="H4" s="9"/>
      <c r="I4" s="10"/>
    </row>
    <row r="5">
      <c r="A5" s="14" t="s">
        <v>127</v>
      </c>
      <c r="B5" s="15"/>
      <c r="D5" s="11" t="s">
        <v>128</v>
      </c>
      <c r="E5" s="12">
        <f>E42</f>
        <v>178.7607422</v>
      </c>
      <c r="G5" s="2"/>
      <c r="H5" s="2"/>
    </row>
    <row r="6">
      <c r="A6" s="5" t="s">
        <v>12</v>
      </c>
      <c r="B6" s="6" t="s">
        <v>129</v>
      </c>
      <c r="D6" s="11" t="s">
        <v>8</v>
      </c>
      <c r="E6" s="12">
        <f>E59</f>
        <v>14.51606104</v>
      </c>
    </row>
    <row r="7">
      <c r="A7" s="5" t="s">
        <v>14</v>
      </c>
      <c r="B7" s="6" t="s">
        <v>13</v>
      </c>
      <c r="D7" s="13"/>
      <c r="E7" s="12"/>
    </row>
    <row r="8">
      <c r="A8" s="5" t="s">
        <v>15</v>
      </c>
      <c r="B8" s="6" t="s">
        <v>13</v>
      </c>
      <c r="D8" s="16" t="s">
        <v>11</v>
      </c>
      <c r="E8" s="17">
        <f>sum(E4:E7)</f>
        <v>199.6883213</v>
      </c>
    </row>
    <row r="9">
      <c r="A9" s="18" t="s">
        <v>16</v>
      </c>
      <c r="B9" s="6" t="s">
        <v>13</v>
      </c>
    </row>
    <row r="11">
      <c r="A11" s="3" t="s">
        <v>130</v>
      </c>
      <c r="B11" s="4">
        <v>11.0</v>
      </c>
    </row>
    <row r="12">
      <c r="A12" s="18" t="s">
        <v>19</v>
      </c>
      <c r="B12" s="22">
        <f>256+max(2,2*B2)</f>
        <v>258</v>
      </c>
    </row>
    <row r="13">
      <c r="A13" s="2"/>
      <c r="B13" s="2"/>
    </row>
    <row r="15">
      <c r="A15" s="23" t="s">
        <v>21</v>
      </c>
      <c r="B15" s="23" t="s">
        <v>22</v>
      </c>
      <c r="C15" s="23" t="s">
        <v>23</v>
      </c>
      <c r="D15" s="23" t="s">
        <v>24</v>
      </c>
      <c r="E15" s="23" t="s">
        <v>25</v>
      </c>
      <c r="F15" s="24" t="s">
        <v>26</v>
      </c>
      <c r="G15" s="24" t="s">
        <v>27</v>
      </c>
      <c r="H15" s="24"/>
      <c r="I15" s="24"/>
      <c r="J15" s="24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</row>
    <row r="16">
      <c r="A16" s="9" t="s">
        <v>4</v>
      </c>
    </row>
    <row r="17">
      <c r="A17" s="2" t="s">
        <v>29</v>
      </c>
      <c r="B17" s="26">
        <f t="shared" ref="B17:B23" si="1">$B$12*$B$12</f>
        <v>66564</v>
      </c>
      <c r="C17" s="2">
        <v>16.0</v>
      </c>
      <c r="D17" s="2" t="s">
        <v>30</v>
      </c>
      <c r="E17" s="26">
        <f>if($B$6="On",C17*B17/(1024*1024),0)   </f>
        <v>0</v>
      </c>
      <c r="F17" s="2" t="s">
        <v>31</v>
      </c>
      <c r="G17" s="27" t="s">
        <v>32</v>
      </c>
      <c r="H17" s="27"/>
      <c r="I17" s="27"/>
      <c r="J17" s="28"/>
      <c r="K17" s="28"/>
    </row>
    <row r="18">
      <c r="A18" s="2" t="s">
        <v>34</v>
      </c>
      <c r="B18" s="26">
        <f t="shared" si="1"/>
        <v>66564</v>
      </c>
      <c r="C18" s="2">
        <v>16.0</v>
      </c>
      <c r="D18" s="2" t="s">
        <v>30</v>
      </c>
      <c r="E18" s="26">
        <f t="shared" ref="E18:E19" si="2">C18*B18/(1024*1024)</f>
        <v>1.015686035</v>
      </c>
      <c r="F18" s="2" t="s">
        <v>31</v>
      </c>
      <c r="G18" s="27" t="s">
        <v>32</v>
      </c>
      <c r="H18" s="27"/>
      <c r="I18" s="27"/>
      <c r="J18" s="28"/>
      <c r="K18" s="28"/>
    </row>
    <row r="19">
      <c r="A19" s="2" t="s">
        <v>35</v>
      </c>
      <c r="B19" s="26">
        <f t="shared" si="1"/>
        <v>66564</v>
      </c>
      <c r="C19" s="2">
        <v>16.0</v>
      </c>
      <c r="D19" s="2" t="s">
        <v>30</v>
      </c>
      <c r="E19" s="26">
        <f t="shared" si="2"/>
        <v>1.015686035</v>
      </c>
      <c r="F19" s="2" t="s">
        <v>31</v>
      </c>
      <c r="G19" s="27" t="s">
        <v>32</v>
      </c>
      <c r="H19" s="27"/>
      <c r="I19" s="27"/>
      <c r="J19" s="28"/>
      <c r="K19" s="28"/>
    </row>
    <row r="20">
      <c r="A20" s="29" t="s">
        <v>36</v>
      </c>
      <c r="B20" s="26">
        <f t="shared" si="1"/>
        <v>66564</v>
      </c>
      <c r="C20" s="2">
        <v>16.0</v>
      </c>
      <c r="D20" s="2" t="s">
        <v>30</v>
      </c>
      <c r="E20" s="26">
        <f>if(AND(B6="On",B9="On"),C20*B20/(1024*1024),0)</f>
        <v>0</v>
      </c>
      <c r="F20" s="2" t="s">
        <v>31</v>
      </c>
      <c r="G20" s="27" t="s">
        <v>32</v>
      </c>
      <c r="H20" s="27"/>
      <c r="I20" s="27"/>
      <c r="J20" s="28"/>
      <c r="K20" s="28"/>
    </row>
    <row r="21">
      <c r="A21" s="29" t="s">
        <v>37</v>
      </c>
      <c r="B21" s="26">
        <f t="shared" si="1"/>
        <v>66564</v>
      </c>
      <c r="C21" s="2">
        <v>16.0</v>
      </c>
      <c r="D21" s="2" t="s">
        <v>30</v>
      </c>
      <c r="E21" s="26">
        <f>if(B9="On",C21*B21/(1024*1024),0)   </f>
        <v>1.015686035</v>
      </c>
      <c r="F21" s="2" t="s">
        <v>31</v>
      </c>
      <c r="G21" s="27" t="s">
        <v>32</v>
      </c>
      <c r="H21" s="27"/>
      <c r="I21" s="27"/>
      <c r="J21" s="28"/>
      <c r="K21" s="28"/>
    </row>
    <row r="22">
      <c r="A22" s="29" t="s">
        <v>38</v>
      </c>
      <c r="B22" s="26">
        <f t="shared" si="1"/>
        <v>66564</v>
      </c>
      <c r="C22" s="2">
        <v>4.0</v>
      </c>
      <c r="D22" s="2" t="s">
        <v>39</v>
      </c>
      <c r="E22" s="26">
        <f>if(B8="On",C22*B22/(1024*1024),0)   </f>
        <v>0.2539215088</v>
      </c>
      <c r="F22" s="2" t="s">
        <v>31</v>
      </c>
      <c r="G22" s="27" t="s">
        <v>32</v>
      </c>
      <c r="H22" s="27"/>
      <c r="I22" s="27"/>
      <c r="J22" s="28"/>
      <c r="K22" s="28"/>
    </row>
    <row r="23">
      <c r="A23" s="2" t="s">
        <v>40</v>
      </c>
      <c r="B23" s="26">
        <f t="shared" si="1"/>
        <v>66564</v>
      </c>
      <c r="C23" s="2">
        <v>4.0</v>
      </c>
      <c r="D23" s="2" t="s">
        <v>39</v>
      </c>
      <c r="E23" s="26">
        <f t="shared" ref="E23:E26" si="3">C23*B23/(1024*1024)</f>
        <v>0.2539215088</v>
      </c>
      <c r="F23" s="2" t="s">
        <v>31</v>
      </c>
      <c r="G23" s="27" t="s">
        <v>32</v>
      </c>
      <c r="H23" s="27"/>
      <c r="I23" s="27"/>
      <c r="J23" s="28"/>
      <c r="K23" s="28"/>
    </row>
    <row r="24">
      <c r="A24" s="2" t="s">
        <v>41</v>
      </c>
      <c r="B24" s="2">
        <v>0.0</v>
      </c>
      <c r="C24" s="2">
        <v>1.0</v>
      </c>
      <c r="D24" s="2" t="s">
        <v>42</v>
      </c>
      <c r="E24" s="26">
        <f t="shared" si="3"/>
        <v>0</v>
      </c>
      <c r="F24" s="2" t="s">
        <v>31</v>
      </c>
      <c r="G24" s="2" t="s">
        <v>33</v>
      </c>
      <c r="H24" s="9"/>
      <c r="I24" s="27"/>
      <c r="J24" s="28"/>
      <c r="K24" s="28"/>
    </row>
    <row r="25">
      <c r="A25" s="2" t="s">
        <v>43</v>
      </c>
      <c r="B25" s="26">
        <f t="shared" ref="B25:B30" si="4">$B$12*$B$12</f>
        <v>66564</v>
      </c>
      <c r="C25" s="2">
        <v>4.0</v>
      </c>
      <c r="D25" s="2" t="s">
        <v>44</v>
      </c>
      <c r="E25" s="26">
        <f t="shared" si="3"/>
        <v>0.2539215088</v>
      </c>
      <c r="F25" s="2" t="s">
        <v>31</v>
      </c>
      <c r="G25" s="27" t="s">
        <v>32</v>
      </c>
      <c r="H25" s="27"/>
      <c r="I25" s="27"/>
      <c r="J25" s="28"/>
      <c r="K25" s="28"/>
    </row>
    <row r="26">
      <c r="A26" s="2" t="s">
        <v>45</v>
      </c>
      <c r="B26" s="26">
        <f t="shared" si="4"/>
        <v>66564</v>
      </c>
      <c r="C26" s="2">
        <v>1.0</v>
      </c>
      <c r="D26" s="2" t="s">
        <v>42</v>
      </c>
      <c r="E26" s="26">
        <f t="shared" si="3"/>
        <v>0.0634803772</v>
      </c>
      <c r="F26" s="2" t="s">
        <v>31</v>
      </c>
      <c r="G26" s="27" t="s">
        <v>32</v>
      </c>
      <c r="H26" s="30"/>
      <c r="I26" s="27"/>
      <c r="J26" s="28"/>
      <c r="K26" s="28"/>
    </row>
    <row r="27">
      <c r="A27" s="29" t="s">
        <v>46</v>
      </c>
      <c r="B27" s="26">
        <f t="shared" si="4"/>
        <v>66564</v>
      </c>
      <c r="C27" s="2">
        <v>16.0</v>
      </c>
      <c r="D27" s="2" t="s">
        <v>30</v>
      </c>
      <c r="E27" s="26">
        <f>if(B7="On",C27*B27/(1024*1024),0)   </f>
        <v>1.015686035</v>
      </c>
      <c r="F27" s="2" t="s">
        <v>47</v>
      </c>
      <c r="G27" s="27" t="s">
        <v>32</v>
      </c>
      <c r="H27" s="27"/>
      <c r="I27" s="27"/>
      <c r="J27" s="28"/>
      <c r="K27" s="28"/>
    </row>
    <row r="28">
      <c r="A28" s="2" t="s">
        <v>48</v>
      </c>
      <c r="B28" s="26">
        <f t="shared" si="4"/>
        <v>66564</v>
      </c>
      <c r="C28" s="2">
        <v>4.0</v>
      </c>
      <c r="D28" s="2" t="s">
        <v>44</v>
      </c>
      <c r="E28" s="26">
        <f>if($B$6="On",C28*B28/(1024*1024),0)   </f>
        <v>0</v>
      </c>
      <c r="F28" s="2" t="s">
        <v>47</v>
      </c>
      <c r="G28" s="27" t="s">
        <v>32</v>
      </c>
      <c r="H28" s="27"/>
      <c r="I28" s="27"/>
      <c r="J28" s="28"/>
      <c r="K28" s="28"/>
    </row>
    <row r="29">
      <c r="A29" s="2" t="s">
        <v>49</v>
      </c>
      <c r="B29" s="26">
        <f t="shared" si="4"/>
        <v>66564</v>
      </c>
      <c r="C29" s="2">
        <v>4.0</v>
      </c>
      <c r="D29" s="2" t="s">
        <v>44</v>
      </c>
      <c r="E29" s="26">
        <f t="shared" ref="E29:E31" si="5">C29*B29/(1024*1024)</f>
        <v>0.2539215088</v>
      </c>
      <c r="F29" s="2" t="s">
        <v>47</v>
      </c>
      <c r="G29" s="27" t="s">
        <v>32</v>
      </c>
      <c r="H29" s="27"/>
      <c r="I29" s="27"/>
      <c r="J29" s="28"/>
      <c r="K29" s="28"/>
    </row>
    <row r="30">
      <c r="A30" s="2" t="s">
        <v>50</v>
      </c>
      <c r="B30" s="26">
        <f t="shared" si="4"/>
        <v>66564</v>
      </c>
      <c r="C30" s="2">
        <v>4.0</v>
      </c>
      <c r="D30" s="2" t="s">
        <v>44</v>
      </c>
      <c r="E30" s="26">
        <f t="shared" si="5"/>
        <v>0.2539215088</v>
      </c>
      <c r="F30" s="2" t="s">
        <v>47</v>
      </c>
      <c r="G30" s="27" t="s">
        <v>32</v>
      </c>
      <c r="H30" s="27"/>
      <c r="I30" s="27"/>
      <c r="J30" s="28"/>
      <c r="K30" s="28"/>
    </row>
    <row r="31">
      <c r="A31" s="2" t="s">
        <v>51</v>
      </c>
      <c r="B31" s="2">
        <v>0.0</v>
      </c>
      <c r="C31" s="2">
        <v>12.0</v>
      </c>
      <c r="D31" s="2" t="s">
        <v>52</v>
      </c>
      <c r="E31" s="26">
        <f t="shared" si="5"/>
        <v>0</v>
      </c>
      <c r="F31" s="2" t="s">
        <v>47</v>
      </c>
      <c r="G31" s="27" t="s">
        <v>33</v>
      </c>
      <c r="H31" s="27"/>
      <c r="I31" s="27"/>
      <c r="J31" s="28"/>
      <c r="K31" s="28"/>
    </row>
    <row r="32">
      <c r="A32" s="2"/>
      <c r="C32" s="2"/>
      <c r="D32" s="2"/>
      <c r="G32" s="27"/>
      <c r="H32" s="27"/>
      <c r="I32" s="27"/>
      <c r="J32" s="28"/>
      <c r="K32" s="28"/>
    </row>
    <row r="33">
      <c r="A33" s="2" t="s">
        <v>53</v>
      </c>
      <c r="B33" s="2">
        <v>0.0</v>
      </c>
      <c r="C33" s="2">
        <v>4.0</v>
      </c>
      <c r="D33" s="2" t="s">
        <v>54</v>
      </c>
      <c r="E33" s="26">
        <f t="shared" ref="E33:E35" si="6">C33*B33/(1024*1024)</f>
        <v>0</v>
      </c>
      <c r="F33" s="2" t="s">
        <v>31</v>
      </c>
      <c r="G33" s="27" t="s">
        <v>33</v>
      </c>
      <c r="H33" s="27"/>
      <c r="I33" s="27"/>
      <c r="J33" s="28"/>
      <c r="R33" s="27"/>
      <c r="S33" s="27"/>
    </row>
    <row r="34">
      <c r="A34" s="2" t="s">
        <v>55</v>
      </c>
      <c r="B34" s="26">
        <f>$B$12*$B$12*B3</f>
        <v>266256</v>
      </c>
      <c r="C34" s="2">
        <v>4.0</v>
      </c>
      <c r="D34" s="2" t="s">
        <v>54</v>
      </c>
      <c r="E34" s="26">
        <f t="shared" si="6"/>
        <v>1.015686035</v>
      </c>
      <c r="F34" s="2" t="s">
        <v>31</v>
      </c>
      <c r="G34" s="2" t="s">
        <v>32</v>
      </c>
      <c r="H34" s="9"/>
      <c r="I34" s="27"/>
      <c r="J34" s="28"/>
      <c r="R34" s="27"/>
      <c r="S34" s="27"/>
    </row>
    <row r="35">
      <c r="A35" s="2" t="s">
        <v>56</v>
      </c>
      <c r="B35" s="2">
        <v>0.0</v>
      </c>
      <c r="C35" s="2">
        <v>16.0</v>
      </c>
      <c r="D35" s="2" t="s">
        <v>30</v>
      </c>
      <c r="E35" s="26">
        <f t="shared" si="6"/>
        <v>0</v>
      </c>
      <c r="F35" s="2" t="s">
        <v>47</v>
      </c>
      <c r="G35" s="2" t="s">
        <v>33</v>
      </c>
      <c r="H35" s="9"/>
      <c r="I35" s="27"/>
      <c r="J35" s="28"/>
      <c r="K35" s="28"/>
    </row>
    <row r="36">
      <c r="A36" s="2"/>
      <c r="C36" s="2"/>
      <c r="D36" s="2"/>
      <c r="G36" s="27"/>
      <c r="H36" s="27"/>
      <c r="I36" s="27"/>
      <c r="J36" s="28"/>
      <c r="K36" s="28"/>
    </row>
    <row r="37">
      <c r="A37" s="2"/>
      <c r="C37" s="2"/>
      <c r="D37" s="9" t="s">
        <v>57</v>
      </c>
      <c r="E37" s="20">
        <f>sum(E17:E35)</f>
        <v>6.411518097</v>
      </c>
      <c r="G37" s="27"/>
      <c r="H37" s="27"/>
      <c r="I37" s="27"/>
      <c r="J37" s="31"/>
      <c r="K37" s="28"/>
    </row>
    <row r="38">
      <c r="A38" s="32"/>
      <c r="B38" s="33"/>
      <c r="C38" s="32"/>
      <c r="D38" s="34"/>
      <c r="E38" s="35"/>
      <c r="F38" s="34"/>
      <c r="G38" s="35"/>
      <c r="H38" s="35"/>
      <c r="I38" s="36"/>
      <c r="J38" s="37"/>
      <c r="K38" s="38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</row>
    <row r="39">
      <c r="A39" s="2"/>
      <c r="C39" s="2"/>
      <c r="D39" s="2"/>
    </row>
    <row r="40">
      <c r="A40" s="9" t="s">
        <v>128</v>
      </c>
      <c r="B40" s="26">
        <f>B12*B12*B11*C40</f>
        <v>11715264</v>
      </c>
      <c r="C40" s="2">
        <v>16.0</v>
      </c>
      <c r="D40" s="2" t="s">
        <v>30</v>
      </c>
      <c r="E40" s="26">
        <f>C40*B40/(1024*1024)</f>
        <v>178.7607422</v>
      </c>
    </row>
    <row r="41">
      <c r="A41" s="2"/>
    </row>
    <row r="42">
      <c r="A42" s="2"/>
      <c r="D42" s="9" t="s">
        <v>57</v>
      </c>
      <c r="E42" s="20">
        <f>sum(E40:E41)</f>
        <v>178.7607422</v>
      </c>
    </row>
    <row r="43">
      <c r="A43" s="32"/>
      <c r="B43" s="33"/>
      <c r="C43" s="33"/>
      <c r="D43" s="34"/>
      <c r="E43" s="35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</row>
    <row r="44">
      <c r="A44" s="2"/>
    </row>
    <row r="45">
      <c r="A45" s="2" t="s">
        <v>81</v>
      </c>
      <c r="B45" s="2">
        <v>0.0</v>
      </c>
      <c r="C45" s="2">
        <v>4.0</v>
      </c>
      <c r="D45" s="2" t="s">
        <v>71</v>
      </c>
      <c r="E45" s="26">
        <f t="shared" ref="E45:E53" si="7">C45*B45/(1024*1024)</f>
        <v>0</v>
      </c>
      <c r="F45" s="2" t="s">
        <v>31</v>
      </c>
      <c r="G45" s="2" t="s">
        <v>33</v>
      </c>
      <c r="I45" s="27">
        <f t="shared" ref="I45:I53" si="8">if(G45="No",E45,0)</f>
        <v>0</v>
      </c>
    </row>
    <row r="46">
      <c r="A46" s="2" t="s">
        <v>82</v>
      </c>
      <c r="B46" s="2">
        <v>1.0</v>
      </c>
      <c r="C46" s="2">
        <v>64.0</v>
      </c>
      <c r="D46" s="2" t="s">
        <v>83</v>
      </c>
      <c r="E46" s="26">
        <f t="shared" si="7"/>
        <v>0.00006103515625</v>
      </c>
      <c r="F46" s="2" t="s">
        <v>31</v>
      </c>
      <c r="G46" s="2" t="s">
        <v>32</v>
      </c>
      <c r="I46" s="27">
        <f t="shared" si="8"/>
        <v>0</v>
      </c>
    </row>
    <row r="47">
      <c r="A47" s="2" t="s">
        <v>84</v>
      </c>
      <c r="B47" s="2">
        <v>0.0</v>
      </c>
      <c r="C47" s="2">
        <v>4.0</v>
      </c>
      <c r="D47" s="2" t="s">
        <v>71</v>
      </c>
      <c r="E47" s="26">
        <f t="shared" si="7"/>
        <v>0</v>
      </c>
      <c r="F47" s="2" t="s">
        <v>47</v>
      </c>
      <c r="G47" s="27" t="s">
        <v>33</v>
      </c>
      <c r="H47" s="27"/>
      <c r="I47" s="27">
        <f t="shared" si="8"/>
        <v>0</v>
      </c>
    </row>
    <row r="48">
      <c r="A48" s="2" t="s">
        <v>85</v>
      </c>
      <c r="B48" s="2">
        <v>0.0</v>
      </c>
      <c r="C48" s="2">
        <v>4.0</v>
      </c>
      <c r="D48" s="2" t="s">
        <v>71</v>
      </c>
      <c r="E48" s="26">
        <f t="shared" si="7"/>
        <v>0</v>
      </c>
      <c r="F48" s="2" t="s">
        <v>47</v>
      </c>
      <c r="G48" s="27" t="s">
        <v>33</v>
      </c>
      <c r="H48" s="27"/>
      <c r="I48" s="27">
        <f t="shared" si="8"/>
        <v>0</v>
      </c>
    </row>
    <row r="49">
      <c r="A49" s="2" t="s">
        <v>86</v>
      </c>
      <c r="B49" s="2">
        <v>0.0</v>
      </c>
      <c r="C49" s="2">
        <v>4.0</v>
      </c>
      <c r="D49" s="2" t="s">
        <v>71</v>
      </c>
      <c r="E49" s="26">
        <f t="shared" si="7"/>
        <v>0</v>
      </c>
      <c r="F49" s="2" t="s">
        <v>47</v>
      </c>
      <c r="G49" s="2" t="s">
        <v>33</v>
      </c>
      <c r="H49" s="27"/>
      <c r="I49" s="27">
        <f t="shared" si="8"/>
        <v>0</v>
      </c>
    </row>
    <row r="50">
      <c r="A50" s="2" t="s">
        <v>87</v>
      </c>
      <c r="B50" s="2">
        <v>0.0</v>
      </c>
      <c r="C50" s="2">
        <v>4.0</v>
      </c>
      <c r="D50" s="2" t="s">
        <v>71</v>
      </c>
      <c r="E50" s="26">
        <f t="shared" si="7"/>
        <v>0</v>
      </c>
      <c r="F50" s="2" t="s">
        <v>47</v>
      </c>
      <c r="G50" s="27" t="s">
        <v>33</v>
      </c>
      <c r="H50" s="27"/>
      <c r="I50" s="27">
        <f t="shared" si="8"/>
        <v>0</v>
      </c>
    </row>
    <row r="51">
      <c r="A51" s="2" t="s">
        <v>88</v>
      </c>
      <c r="B51" s="2">
        <v>0.0</v>
      </c>
      <c r="C51" s="2">
        <v>4.0</v>
      </c>
      <c r="D51" s="2" t="s">
        <v>71</v>
      </c>
      <c r="E51" s="26">
        <f t="shared" si="7"/>
        <v>0</v>
      </c>
      <c r="F51" s="2" t="s">
        <v>47</v>
      </c>
      <c r="G51" s="27" t="s">
        <v>33</v>
      </c>
      <c r="H51" s="27"/>
      <c r="I51" s="27">
        <f t="shared" si="8"/>
        <v>0</v>
      </c>
    </row>
    <row r="52">
      <c r="A52" s="2" t="s">
        <v>89</v>
      </c>
      <c r="B52" s="2">
        <v>0.0</v>
      </c>
      <c r="C52" s="2">
        <v>4.0</v>
      </c>
      <c r="D52" s="2" t="s">
        <v>71</v>
      </c>
      <c r="E52" s="26">
        <f t="shared" si="7"/>
        <v>0</v>
      </c>
      <c r="F52" s="2" t="s">
        <v>47</v>
      </c>
      <c r="G52" s="27" t="s">
        <v>33</v>
      </c>
      <c r="H52" s="27"/>
      <c r="I52" s="27">
        <f t="shared" si="8"/>
        <v>0</v>
      </c>
    </row>
    <row r="53">
      <c r="A53" s="2" t="s">
        <v>90</v>
      </c>
      <c r="B53" s="2">
        <v>0.0</v>
      </c>
      <c r="C53" s="2">
        <v>4.0</v>
      </c>
      <c r="D53" s="2" t="s">
        <v>71</v>
      </c>
      <c r="E53" s="26">
        <f t="shared" si="7"/>
        <v>0</v>
      </c>
      <c r="F53" s="2" t="s">
        <v>47</v>
      </c>
      <c r="G53" s="27" t="s">
        <v>33</v>
      </c>
      <c r="H53" s="27"/>
      <c r="I53" s="27">
        <f t="shared" si="8"/>
        <v>0</v>
      </c>
    </row>
    <row r="54">
      <c r="A54" s="2" t="s">
        <v>91</v>
      </c>
      <c r="E54" s="2">
        <v>12.0</v>
      </c>
      <c r="F54" s="2" t="s">
        <v>92</v>
      </c>
      <c r="I54" s="27"/>
    </row>
    <row r="55">
      <c r="A55" s="2" t="s">
        <v>93</v>
      </c>
      <c r="E55" s="2">
        <v>0.203</v>
      </c>
      <c r="F55" s="2" t="s">
        <v>92</v>
      </c>
      <c r="I55" s="27"/>
    </row>
    <row r="56">
      <c r="A56" s="2" t="s">
        <v>94</v>
      </c>
      <c r="E56" s="2">
        <v>0.063</v>
      </c>
      <c r="F56" s="2" t="s">
        <v>92</v>
      </c>
      <c r="I56" s="27"/>
    </row>
    <row r="57">
      <c r="A57" s="2" t="s">
        <v>95</v>
      </c>
      <c r="E57" s="2">
        <v>1.125</v>
      </c>
      <c r="F57" s="2" t="s">
        <v>92</v>
      </c>
      <c r="I57" s="27"/>
    </row>
    <row r="58">
      <c r="A58" s="2" t="s">
        <v>96</v>
      </c>
      <c r="E58" s="2">
        <v>1.125</v>
      </c>
      <c r="F58" s="2" t="s">
        <v>92</v>
      </c>
      <c r="I58" s="27"/>
    </row>
    <row r="59">
      <c r="D59" s="34" t="s">
        <v>57</v>
      </c>
      <c r="E59" s="35">
        <f>sum(E45:E58)</f>
        <v>14.51606104</v>
      </c>
      <c r="I59" s="27"/>
    </row>
    <row r="60">
      <c r="D60" s="34" t="s">
        <v>97</v>
      </c>
      <c r="E60" s="35">
        <f>SUM(E45:E55)-sum(I44:I55)</f>
        <v>12.20306104</v>
      </c>
      <c r="I60" s="27"/>
    </row>
    <row r="61">
      <c r="I61" s="27"/>
    </row>
    <row r="62">
      <c r="I62" s="27"/>
    </row>
    <row r="65">
      <c r="A65" s="9"/>
    </row>
    <row r="95">
      <c r="B95" s="20"/>
      <c r="C95" s="9"/>
    </row>
  </sheetData>
  <mergeCells count="1">
    <mergeCell ref="A5:B5"/>
  </mergeCells>
  <dataValidations>
    <dataValidation type="list" allowBlank="1" sqref="B2">
      <formula1>"0,1,2,3,4,5"</formula1>
    </dataValidation>
    <dataValidation type="list" allowBlank="1" sqref="B3">
      <formula1>"1,4,16"</formula1>
    </dataValidation>
    <dataValidation type="list" allowBlank="1" sqref="B6:B9">
      <formula1>"On,Off"</formula1>
    </dataValidation>
  </dataValidation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34.29"/>
    <col customWidth="1" min="2" max="2" width="32.0"/>
    <col customWidth="1" min="4" max="4" width="34.43"/>
    <col customWidth="1" min="8" max="8" width="19.71"/>
    <col customWidth="1" min="9" max="9" width="21.14"/>
    <col customWidth="1" min="10" max="10" width="20.71"/>
  </cols>
  <sheetData>
    <row r="1">
      <c r="A1" s="1" t="s">
        <v>0</v>
      </c>
      <c r="B1" s="2"/>
    </row>
    <row r="2">
      <c r="A2" s="3" t="s">
        <v>1</v>
      </c>
      <c r="B2" s="4">
        <v>2048.0</v>
      </c>
      <c r="K2" s="39"/>
      <c r="S2" s="15"/>
    </row>
    <row r="3">
      <c r="A3" s="5" t="s">
        <v>2</v>
      </c>
      <c r="B3" s="6">
        <f>B2</f>
        <v>2048</v>
      </c>
    </row>
    <row r="4">
      <c r="A4" s="5" t="s">
        <v>3</v>
      </c>
      <c r="B4" s="6">
        <v>4.0</v>
      </c>
      <c r="D4" s="7" t="s">
        <v>131</v>
      </c>
      <c r="E4" s="8">
        <f>SUM(E40:E44)</f>
        <v>848</v>
      </c>
      <c r="G4" s="9"/>
      <c r="H4" s="9"/>
      <c r="I4" s="10"/>
    </row>
    <row r="5">
      <c r="A5" s="5" t="s">
        <v>132</v>
      </c>
      <c r="B5" s="6" t="s">
        <v>13</v>
      </c>
      <c r="D5" s="11" t="s">
        <v>133</v>
      </c>
      <c r="E5" s="12">
        <f>if(B5="On", sum(E24:E37),0)</f>
        <v>488</v>
      </c>
      <c r="G5" s="2"/>
      <c r="H5" s="2"/>
    </row>
    <row r="6">
      <c r="A6" s="5"/>
      <c r="D6" s="11" t="s">
        <v>134</v>
      </c>
      <c r="E6" s="12" t="str">
        <f>E84</f>
        <v/>
      </c>
    </row>
    <row r="7">
      <c r="A7" s="5"/>
      <c r="B7" s="6"/>
      <c r="D7" s="13"/>
      <c r="E7" s="12"/>
      <c r="H7" s="40"/>
      <c r="I7" s="25"/>
      <c r="J7" s="25"/>
      <c r="K7" s="41" t="s">
        <v>135</v>
      </c>
      <c r="L7" s="42"/>
      <c r="M7" s="42"/>
      <c r="N7" s="42"/>
      <c r="O7" s="42"/>
      <c r="P7" s="42"/>
      <c r="Q7" s="42"/>
      <c r="R7" s="42"/>
      <c r="S7" s="43"/>
    </row>
    <row r="8">
      <c r="A8" s="14" t="s">
        <v>10</v>
      </c>
      <c r="B8" s="15"/>
      <c r="D8" s="16" t="s">
        <v>11</v>
      </c>
      <c r="E8" s="17">
        <f>sum(E4:E7)</f>
        <v>1336</v>
      </c>
      <c r="H8" s="44" t="s">
        <v>136</v>
      </c>
      <c r="K8" s="39" t="s">
        <v>137</v>
      </c>
      <c r="S8" s="15"/>
    </row>
    <row r="9">
      <c r="A9" s="5" t="s">
        <v>12</v>
      </c>
      <c r="B9" s="6" t="s">
        <v>13</v>
      </c>
      <c r="H9" s="5" t="s">
        <v>138</v>
      </c>
      <c r="I9" s="2" t="s">
        <v>139</v>
      </c>
      <c r="J9" s="2" t="s">
        <v>140</v>
      </c>
      <c r="K9" s="9" t="s">
        <v>141</v>
      </c>
      <c r="L9" s="9" t="s">
        <v>142</v>
      </c>
      <c r="M9" s="9" t="s">
        <v>143</v>
      </c>
      <c r="N9" s="9" t="s">
        <v>144</v>
      </c>
      <c r="O9" s="9" t="s">
        <v>145</v>
      </c>
      <c r="P9" s="9" t="s">
        <v>146</v>
      </c>
      <c r="Q9" s="9" t="s">
        <v>147</v>
      </c>
      <c r="R9" s="9" t="s">
        <v>148</v>
      </c>
      <c r="S9" s="45" t="s">
        <v>149</v>
      </c>
    </row>
    <row r="10">
      <c r="A10" s="5" t="s">
        <v>14</v>
      </c>
      <c r="B10" s="6" t="s">
        <v>13</v>
      </c>
      <c r="H10" s="46">
        <v>16.0</v>
      </c>
      <c r="I10" s="47">
        <f>1/6*100</f>
        <v>16.66666667</v>
      </c>
      <c r="J10" s="48">
        <f t="shared" ref="J10:J25" si="1">I10/100*H10</f>
        <v>2.666666667</v>
      </c>
      <c r="K10" s="49">
        <f t="shared" ref="K10:K25" si="2">175/1024</f>
        <v>0.1708984375</v>
      </c>
      <c r="L10" s="49">
        <f t="shared" ref="L10:L25" si="3">334/1024</f>
        <v>0.326171875</v>
      </c>
      <c r="M10" s="49">
        <f t="shared" ref="M10:M25" si="4">970/1024</f>
        <v>0.947265625</v>
      </c>
      <c r="N10" s="49">
        <f t="shared" ref="N10:N25" si="5">700/1024</f>
        <v>0.68359375</v>
      </c>
      <c r="O10" s="49">
        <f t="shared" ref="O10:O25" si="6">1336/1024</f>
        <v>1.3046875</v>
      </c>
      <c r="P10" s="50">
        <f t="shared" ref="P10:P25" si="7">3880/1024</f>
        <v>3.7890625</v>
      </c>
      <c r="Q10" s="50">
        <f t="shared" ref="Q10:Q25" si="8">2800/1024</f>
        <v>2.734375</v>
      </c>
      <c r="R10" s="50">
        <f t="shared" ref="R10:R25" si="9">5344/1024</f>
        <v>5.21875</v>
      </c>
      <c r="S10" s="51">
        <f t="shared" ref="S10:S25" si="10">15520/1024</f>
        <v>15.15625</v>
      </c>
    </row>
    <row r="11">
      <c r="A11" s="5" t="s">
        <v>15</v>
      </c>
      <c r="B11" s="6" t="s">
        <v>13</v>
      </c>
      <c r="H11" s="52">
        <v>16.0</v>
      </c>
      <c r="I11" s="53">
        <v>25.0</v>
      </c>
      <c r="J11" s="54">
        <f t="shared" si="1"/>
        <v>4</v>
      </c>
      <c r="K11" s="55">
        <f t="shared" si="2"/>
        <v>0.1708984375</v>
      </c>
      <c r="L11" s="55">
        <f t="shared" si="3"/>
        <v>0.326171875</v>
      </c>
      <c r="M11" s="55">
        <f t="shared" si="4"/>
        <v>0.947265625</v>
      </c>
      <c r="N11" s="55">
        <f t="shared" si="5"/>
        <v>0.68359375</v>
      </c>
      <c r="O11" s="55">
        <f t="shared" si="6"/>
        <v>1.3046875</v>
      </c>
      <c r="P11" s="55">
        <f t="shared" si="7"/>
        <v>3.7890625</v>
      </c>
      <c r="Q11" s="55">
        <f t="shared" si="8"/>
        <v>2.734375</v>
      </c>
      <c r="R11" s="56">
        <f t="shared" si="9"/>
        <v>5.21875</v>
      </c>
      <c r="S11" s="57">
        <f t="shared" si="10"/>
        <v>15.15625</v>
      </c>
    </row>
    <row r="12">
      <c r="A12" s="18" t="s">
        <v>16</v>
      </c>
      <c r="B12" s="6" t="s">
        <v>13</v>
      </c>
      <c r="H12" s="52">
        <v>16.0</v>
      </c>
      <c r="I12" s="53">
        <f>1/3*100</f>
        <v>33.33333333</v>
      </c>
      <c r="J12" s="54">
        <f t="shared" si="1"/>
        <v>5.333333333</v>
      </c>
      <c r="K12" s="55">
        <f t="shared" si="2"/>
        <v>0.1708984375</v>
      </c>
      <c r="L12" s="55">
        <f t="shared" si="3"/>
        <v>0.326171875</v>
      </c>
      <c r="M12" s="55">
        <f t="shared" si="4"/>
        <v>0.947265625</v>
      </c>
      <c r="N12" s="55">
        <f t="shared" si="5"/>
        <v>0.68359375</v>
      </c>
      <c r="O12" s="55">
        <f t="shared" si="6"/>
        <v>1.3046875</v>
      </c>
      <c r="P12" s="55">
        <f t="shared" si="7"/>
        <v>3.7890625</v>
      </c>
      <c r="Q12" s="55">
        <f t="shared" si="8"/>
        <v>2.734375</v>
      </c>
      <c r="R12" s="55">
        <f t="shared" si="9"/>
        <v>5.21875</v>
      </c>
      <c r="S12" s="57">
        <f t="shared" si="10"/>
        <v>15.15625</v>
      </c>
    </row>
    <row r="13">
      <c r="A13" s="5"/>
      <c r="B13" s="6"/>
      <c r="H13" s="52">
        <v>16.0</v>
      </c>
      <c r="I13" s="53">
        <v>50.0</v>
      </c>
      <c r="J13" s="54">
        <f t="shared" si="1"/>
        <v>8</v>
      </c>
      <c r="K13" s="55">
        <f t="shared" si="2"/>
        <v>0.1708984375</v>
      </c>
      <c r="L13" s="55">
        <f t="shared" si="3"/>
        <v>0.326171875</v>
      </c>
      <c r="M13" s="55">
        <f t="shared" si="4"/>
        <v>0.947265625</v>
      </c>
      <c r="N13" s="55">
        <f t="shared" si="5"/>
        <v>0.68359375</v>
      </c>
      <c r="O13" s="55">
        <f t="shared" si="6"/>
        <v>1.3046875</v>
      </c>
      <c r="P13" s="55">
        <f t="shared" si="7"/>
        <v>3.7890625</v>
      </c>
      <c r="Q13" s="55">
        <f t="shared" si="8"/>
        <v>2.734375</v>
      </c>
      <c r="R13" s="55">
        <f t="shared" si="9"/>
        <v>5.21875</v>
      </c>
      <c r="S13" s="57">
        <f t="shared" si="10"/>
        <v>15.15625</v>
      </c>
    </row>
    <row r="14">
      <c r="A14" s="5"/>
      <c r="B14" s="6"/>
      <c r="H14" s="58">
        <v>32.0</v>
      </c>
      <c r="I14" s="59">
        <f>1/6*100</f>
        <v>16.66666667</v>
      </c>
      <c r="J14" s="60">
        <f t="shared" si="1"/>
        <v>5.333333333</v>
      </c>
      <c r="K14" s="61">
        <f t="shared" si="2"/>
        <v>0.1708984375</v>
      </c>
      <c r="L14" s="61">
        <f t="shared" si="3"/>
        <v>0.326171875</v>
      </c>
      <c r="M14" s="61">
        <f t="shared" si="4"/>
        <v>0.947265625</v>
      </c>
      <c r="N14" s="61">
        <f t="shared" si="5"/>
        <v>0.68359375</v>
      </c>
      <c r="O14" s="61">
        <f t="shared" si="6"/>
        <v>1.3046875</v>
      </c>
      <c r="P14" s="61">
        <f t="shared" si="7"/>
        <v>3.7890625</v>
      </c>
      <c r="Q14" s="61">
        <f t="shared" si="8"/>
        <v>2.734375</v>
      </c>
      <c r="R14" s="61">
        <f t="shared" si="9"/>
        <v>5.21875</v>
      </c>
      <c r="S14" s="62">
        <f t="shared" si="10"/>
        <v>15.15625</v>
      </c>
    </row>
    <row r="15">
      <c r="A15" s="3"/>
      <c r="B15" s="19"/>
      <c r="D15" s="9"/>
      <c r="E15" s="20"/>
      <c r="H15" s="52">
        <v>32.0</v>
      </c>
      <c r="I15" s="53">
        <v>25.0</v>
      </c>
      <c r="J15" s="54">
        <f t="shared" si="1"/>
        <v>8</v>
      </c>
      <c r="K15" s="55">
        <f t="shared" si="2"/>
        <v>0.1708984375</v>
      </c>
      <c r="L15" s="55">
        <f t="shared" si="3"/>
        <v>0.326171875</v>
      </c>
      <c r="M15" s="55">
        <f t="shared" si="4"/>
        <v>0.947265625</v>
      </c>
      <c r="N15" s="55">
        <f t="shared" si="5"/>
        <v>0.68359375</v>
      </c>
      <c r="O15" s="55">
        <f t="shared" si="6"/>
        <v>1.3046875</v>
      </c>
      <c r="P15" s="55">
        <f t="shared" si="7"/>
        <v>3.7890625</v>
      </c>
      <c r="Q15" s="55">
        <f t="shared" si="8"/>
        <v>2.734375</v>
      </c>
      <c r="R15" s="55">
        <f t="shared" si="9"/>
        <v>5.21875</v>
      </c>
      <c r="S15" s="57">
        <f t="shared" si="10"/>
        <v>15.15625</v>
      </c>
    </row>
    <row r="16">
      <c r="A16" s="5" t="s">
        <v>18</v>
      </c>
      <c r="B16" s="21">
        <f>B2*B3</f>
        <v>4194304</v>
      </c>
      <c r="H16" s="52">
        <v>32.0</v>
      </c>
      <c r="I16" s="53">
        <f>1/3*100</f>
        <v>33.33333333</v>
      </c>
      <c r="J16" s="54">
        <f t="shared" si="1"/>
        <v>10.66666667</v>
      </c>
      <c r="K16" s="55">
        <f t="shared" si="2"/>
        <v>0.1708984375</v>
      </c>
      <c r="L16" s="55">
        <f t="shared" si="3"/>
        <v>0.326171875</v>
      </c>
      <c r="M16" s="55">
        <f t="shared" si="4"/>
        <v>0.947265625</v>
      </c>
      <c r="N16" s="55">
        <f t="shared" si="5"/>
        <v>0.68359375</v>
      </c>
      <c r="O16" s="55">
        <f t="shared" si="6"/>
        <v>1.3046875</v>
      </c>
      <c r="P16" s="55">
        <f t="shared" si="7"/>
        <v>3.7890625</v>
      </c>
      <c r="Q16" s="55">
        <f t="shared" si="8"/>
        <v>2.734375</v>
      </c>
      <c r="R16" s="55">
        <f t="shared" si="9"/>
        <v>5.21875</v>
      </c>
      <c r="S16" s="57">
        <f t="shared" si="10"/>
        <v>15.15625</v>
      </c>
    </row>
    <row r="17">
      <c r="A17" s="5"/>
      <c r="B17" s="6"/>
      <c r="H17" s="52">
        <v>32.0</v>
      </c>
      <c r="I17" s="53">
        <v>50.0</v>
      </c>
      <c r="J17" s="54">
        <f t="shared" si="1"/>
        <v>16</v>
      </c>
      <c r="K17" s="55">
        <f t="shared" si="2"/>
        <v>0.1708984375</v>
      </c>
      <c r="L17" s="55">
        <f t="shared" si="3"/>
        <v>0.326171875</v>
      </c>
      <c r="M17" s="55">
        <f t="shared" si="4"/>
        <v>0.947265625</v>
      </c>
      <c r="N17" s="55">
        <f t="shared" si="5"/>
        <v>0.68359375</v>
      </c>
      <c r="O17" s="55">
        <f t="shared" si="6"/>
        <v>1.3046875</v>
      </c>
      <c r="P17" s="55">
        <f t="shared" si="7"/>
        <v>3.7890625</v>
      </c>
      <c r="Q17" s="55">
        <f t="shared" si="8"/>
        <v>2.734375</v>
      </c>
      <c r="R17" s="55">
        <f t="shared" si="9"/>
        <v>5.21875</v>
      </c>
      <c r="S17" s="63">
        <f t="shared" si="10"/>
        <v>15.15625</v>
      </c>
    </row>
    <row r="18">
      <c r="A18" s="18"/>
      <c r="B18" s="22"/>
      <c r="D18" s="2"/>
      <c r="E18" s="2"/>
      <c r="H18" s="58">
        <v>64.0</v>
      </c>
      <c r="I18" s="59">
        <f>1/6*100</f>
        <v>16.66666667</v>
      </c>
      <c r="J18" s="60">
        <f t="shared" si="1"/>
        <v>10.66666667</v>
      </c>
      <c r="K18" s="61">
        <f t="shared" si="2"/>
        <v>0.1708984375</v>
      </c>
      <c r="L18" s="61">
        <f t="shared" si="3"/>
        <v>0.326171875</v>
      </c>
      <c r="M18" s="61">
        <f t="shared" si="4"/>
        <v>0.947265625</v>
      </c>
      <c r="N18" s="61">
        <f t="shared" si="5"/>
        <v>0.68359375</v>
      </c>
      <c r="O18" s="61">
        <f t="shared" si="6"/>
        <v>1.3046875</v>
      </c>
      <c r="P18" s="61">
        <f t="shared" si="7"/>
        <v>3.7890625</v>
      </c>
      <c r="Q18" s="61">
        <f t="shared" si="8"/>
        <v>2.734375</v>
      </c>
      <c r="R18" s="61">
        <f t="shared" si="9"/>
        <v>5.21875</v>
      </c>
      <c r="S18" s="62">
        <f t="shared" si="10"/>
        <v>15.15625</v>
      </c>
    </row>
    <row r="19">
      <c r="A19" s="1"/>
      <c r="H19" s="52">
        <v>64.0</v>
      </c>
      <c r="I19" s="53">
        <v>25.0</v>
      </c>
      <c r="J19" s="54">
        <f t="shared" si="1"/>
        <v>16</v>
      </c>
      <c r="K19" s="55">
        <f t="shared" si="2"/>
        <v>0.1708984375</v>
      </c>
      <c r="L19" s="55">
        <f t="shared" si="3"/>
        <v>0.326171875</v>
      </c>
      <c r="M19" s="55">
        <f t="shared" si="4"/>
        <v>0.947265625</v>
      </c>
      <c r="N19" s="55">
        <f t="shared" si="5"/>
        <v>0.68359375</v>
      </c>
      <c r="O19" s="55">
        <f t="shared" si="6"/>
        <v>1.3046875</v>
      </c>
      <c r="P19" s="55">
        <f t="shared" si="7"/>
        <v>3.7890625</v>
      </c>
      <c r="Q19" s="55">
        <f t="shared" si="8"/>
        <v>2.734375</v>
      </c>
      <c r="R19" s="55">
        <f t="shared" si="9"/>
        <v>5.21875</v>
      </c>
      <c r="S19" s="63">
        <f t="shared" si="10"/>
        <v>15.15625</v>
      </c>
    </row>
    <row r="20">
      <c r="A20" s="1"/>
      <c r="H20" s="52">
        <v>64.0</v>
      </c>
      <c r="I20" s="53">
        <f>1/3*100</f>
        <v>33.33333333</v>
      </c>
      <c r="J20" s="54">
        <f t="shared" si="1"/>
        <v>21.33333333</v>
      </c>
      <c r="K20" s="55">
        <f t="shared" si="2"/>
        <v>0.1708984375</v>
      </c>
      <c r="L20" s="55">
        <f t="shared" si="3"/>
        <v>0.326171875</v>
      </c>
      <c r="M20" s="55">
        <f t="shared" si="4"/>
        <v>0.947265625</v>
      </c>
      <c r="N20" s="55">
        <f t="shared" si="5"/>
        <v>0.68359375</v>
      </c>
      <c r="O20" s="55">
        <f t="shared" si="6"/>
        <v>1.3046875</v>
      </c>
      <c r="P20" s="55">
        <f t="shared" si="7"/>
        <v>3.7890625</v>
      </c>
      <c r="Q20" s="55">
        <f t="shared" si="8"/>
        <v>2.734375</v>
      </c>
      <c r="R20" s="55">
        <f t="shared" si="9"/>
        <v>5.21875</v>
      </c>
      <c r="S20" s="63">
        <f t="shared" si="10"/>
        <v>15.15625</v>
      </c>
    </row>
    <row r="21">
      <c r="H21" s="52">
        <v>64.0</v>
      </c>
      <c r="I21" s="53">
        <v>50.0</v>
      </c>
      <c r="J21" s="54">
        <f t="shared" si="1"/>
        <v>32</v>
      </c>
      <c r="K21" s="55">
        <f t="shared" si="2"/>
        <v>0.1708984375</v>
      </c>
      <c r="L21" s="55">
        <f t="shared" si="3"/>
        <v>0.326171875</v>
      </c>
      <c r="M21" s="55">
        <f t="shared" si="4"/>
        <v>0.947265625</v>
      </c>
      <c r="N21" s="55">
        <f t="shared" si="5"/>
        <v>0.68359375</v>
      </c>
      <c r="O21" s="55">
        <f t="shared" si="6"/>
        <v>1.3046875</v>
      </c>
      <c r="P21" s="55">
        <f t="shared" si="7"/>
        <v>3.7890625</v>
      </c>
      <c r="Q21" s="55">
        <f t="shared" si="8"/>
        <v>2.734375</v>
      </c>
      <c r="R21" s="55">
        <f t="shared" si="9"/>
        <v>5.21875</v>
      </c>
      <c r="S21" s="63">
        <f t="shared" si="10"/>
        <v>15.15625</v>
      </c>
    </row>
    <row r="22">
      <c r="A22" s="23" t="s">
        <v>21</v>
      </c>
      <c r="B22" s="23" t="s">
        <v>22</v>
      </c>
      <c r="C22" s="23" t="s">
        <v>23</v>
      </c>
      <c r="D22" s="23" t="s">
        <v>24</v>
      </c>
      <c r="E22" s="23" t="s">
        <v>25</v>
      </c>
      <c r="F22" s="24"/>
      <c r="G22" s="24"/>
      <c r="H22" s="58">
        <v>128.0</v>
      </c>
      <c r="I22" s="59">
        <f>1/6*100</f>
        <v>16.66666667</v>
      </c>
      <c r="J22" s="60">
        <f t="shared" si="1"/>
        <v>21.33333333</v>
      </c>
      <c r="K22" s="61">
        <f t="shared" si="2"/>
        <v>0.1708984375</v>
      </c>
      <c r="L22" s="61">
        <f t="shared" si="3"/>
        <v>0.326171875</v>
      </c>
      <c r="M22" s="61">
        <f t="shared" si="4"/>
        <v>0.947265625</v>
      </c>
      <c r="N22" s="61">
        <f t="shared" si="5"/>
        <v>0.68359375</v>
      </c>
      <c r="O22" s="61">
        <f t="shared" si="6"/>
        <v>1.3046875</v>
      </c>
      <c r="P22" s="61">
        <f t="shared" si="7"/>
        <v>3.7890625</v>
      </c>
      <c r="Q22" s="61">
        <f t="shared" si="8"/>
        <v>2.734375</v>
      </c>
      <c r="R22" s="61">
        <f t="shared" si="9"/>
        <v>5.21875</v>
      </c>
      <c r="S22" s="64">
        <f t="shared" si="10"/>
        <v>15.15625</v>
      </c>
    </row>
    <row r="23">
      <c r="A23" s="9" t="s">
        <v>4</v>
      </c>
      <c r="H23" s="52">
        <v>128.0</v>
      </c>
      <c r="I23" s="53">
        <v>25.0</v>
      </c>
      <c r="J23" s="54">
        <f t="shared" si="1"/>
        <v>32</v>
      </c>
      <c r="K23" s="55">
        <f t="shared" si="2"/>
        <v>0.1708984375</v>
      </c>
      <c r="L23" s="55">
        <f t="shared" si="3"/>
        <v>0.326171875</v>
      </c>
      <c r="M23" s="55">
        <f t="shared" si="4"/>
        <v>0.947265625</v>
      </c>
      <c r="N23" s="55">
        <f t="shared" si="5"/>
        <v>0.68359375</v>
      </c>
      <c r="O23" s="55">
        <f t="shared" si="6"/>
        <v>1.3046875</v>
      </c>
      <c r="P23" s="55">
        <f t="shared" si="7"/>
        <v>3.7890625</v>
      </c>
      <c r="Q23" s="55">
        <f t="shared" si="8"/>
        <v>2.734375</v>
      </c>
      <c r="R23" s="55">
        <f t="shared" si="9"/>
        <v>5.21875</v>
      </c>
      <c r="S23" s="63">
        <f t="shared" si="10"/>
        <v>15.15625</v>
      </c>
    </row>
    <row r="24">
      <c r="A24" s="2" t="s">
        <v>29</v>
      </c>
      <c r="B24" s="26">
        <f t="shared" ref="B24:B37" si="11">$B$16</f>
        <v>4194304</v>
      </c>
      <c r="C24" s="2">
        <v>16.0</v>
      </c>
      <c r="D24" s="2" t="s">
        <v>30</v>
      </c>
      <c r="E24" s="26">
        <f>if($B$9="On",C24*B24/(1024*1024),0)   </f>
        <v>64</v>
      </c>
      <c r="G24" s="27"/>
      <c r="H24" s="52">
        <v>128.0</v>
      </c>
      <c r="I24" s="53">
        <f>1/3*100</f>
        <v>33.33333333</v>
      </c>
      <c r="J24" s="54">
        <f t="shared" si="1"/>
        <v>42.66666667</v>
      </c>
      <c r="K24" s="55">
        <f t="shared" si="2"/>
        <v>0.1708984375</v>
      </c>
      <c r="L24" s="55">
        <f t="shared" si="3"/>
        <v>0.326171875</v>
      </c>
      <c r="M24" s="55">
        <f t="shared" si="4"/>
        <v>0.947265625</v>
      </c>
      <c r="N24" s="55">
        <f t="shared" si="5"/>
        <v>0.68359375</v>
      </c>
      <c r="O24" s="55">
        <f t="shared" si="6"/>
        <v>1.3046875</v>
      </c>
      <c r="P24" s="55">
        <f t="shared" si="7"/>
        <v>3.7890625</v>
      </c>
      <c r="Q24" s="55">
        <f t="shared" si="8"/>
        <v>2.734375</v>
      </c>
      <c r="R24" s="55">
        <f t="shared" si="9"/>
        <v>5.21875</v>
      </c>
      <c r="S24" s="63">
        <f t="shared" si="10"/>
        <v>15.15625</v>
      </c>
    </row>
    <row r="25">
      <c r="A25" s="2" t="s">
        <v>34</v>
      </c>
      <c r="B25" s="26">
        <f t="shared" si="11"/>
        <v>4194304</v>
      </c>
      <c r="C25" s="2">
        <v>16.0</v>
      </c>
      <c r="D25" s="2" t="s">
        <v>30</v>
      </c>
      <c r="E25" s="26">
        <f t="shared" ref="E25:E26" si="12">C25*B25/(1024*1024)</f>
        <v>64</v>
      </c>
      <c r="G25" s="27"/>
      <c r="H25" s="65">
        <v>128.0</v>
      </c>
      <c r="I25" s="66">
        <v>50.0</v>
      </c>
      <c r="J25" s="67">
        <f t="shared" si="1"/>
        <v>64</v>
      </c>
      <c r="K25" s="68">
        <f t="shared" si="2"/>
        <v>0.1708984375</v>
      </c>
      <c r="L25" s="68">
        <f t="shared" si="3"/>
        <v>0.326171875</v>
      </c>
      <c r="M25" s="68">
        <f t="shared" si="4"/>
        <v>0.947265625</v>
      </c>
      <c r="N25" s="68">
        <f t="shared" si="5"/>
        <v>0.68359375</v>
      </c>
      <c r="O25" s="68">
        <f t="shared" si="6"/>
        <v>1.3046875</v>
      </c>
      <c r="P25" s="68">
        <f t="shared" si="7"/>
        <v>3.7890625</v>
      </c>
      <c r="Q25" s="68">
        <f t="shared" si="8"/>
        <v>2.734375</v>
      </c>
      <c r="R25" s="68">
        <f t="shared" si="9"/>
        <v>5.21875</v>
      </c>
      <c r="S25" s="69">
        <f t="shared" si="10"/>
        <v>15.15625</v>
      </c>
    </row>
    <row r="26">
      <c r="A26" s="2" t="s">
        <v>35</v>
      </c>
      <c r="B26" s="26">
        <f t="shared" si="11"/>
        <v>4194304</v>
      </c>
      <c r="C26" s="2">
        <v>16.0</v>
      </c>
      <c r="D26" s="2" t="s">
        <v>30</v>
      </c>
      <c r="E26" s="26">
        <f t="shared" si="12"/>
        <v>64</v>
      </c>
      <c r="G26" s="27"/>
      <c r="I26" s="70"/>
      <c r="J26" s="71"/>
    </row>
    <row r="27">
      <c r="A27" s="29" t="s">
        <v>36</v>
      </c>
      <c r="B27" s="26">
        <f t="shared" si="11"/>
        <v>4194304</v>
      </c>
      <c r="C27" s="2">
        <v>16.0</v>
      </c>
      <c r="D27" s="2" t="s">
        <v>30</v>
      </c>
      <c r="E27" s="26">
        <f>if(AND(B9="On",B12="On"),C27*B27/(1024*1024),0)</f>
        <v>64</v>
      </c>
      <c r="G27" s="27"/>
      <c r="H27" s="27"/>
      <c r="I27" s="27"/>
    </row>
    <row r="28">
      <c r="A28" s="29" t="s">
        <v>37</v>
      </c>
      <c r="B28" s="26">
        <f t="shared" si="11"/>
        <v>4194304</v>
      </c>
      <c r="C28" s="2">
        <v>16.0</v>
      </c>
      <c r="D28" s="2" t="s">
        <v>30</v>
      </c>
      <c r="E28" s="26">
        <f>if(B12="On",C28*B28/(1024*1024),0)   </f>
        <v>64</v>
      </c>
      <c r="G28" s="27"/>
      <c r="H28" s="27"/>
      <c r="I28" s="27"/>
    </row>
    <row r="29">
      <c r="A29" s="29" t="s">
        <v>38</v>
      </c>
      <c r="B29" s="26">
        <f t="shared" si="11"/>
        <v>4194304</v>
      </c>
      <c r="C29" s="2">
        <v>4.0</v>
      </c>
      <c r="D29" s="2" t="s">
        <v>39</v>
      </c>
      <c r="E29" s="26">
        <f>if(B11="On",C29*B29/(1024*1024),0)   </f>
        <v>16</v>
      </c>
      <c r="G29" s="27"/>
      <c r="H29" s="27"/>
      <c r="I29" s="27"/>
    </row>
    <row r="30">
      <c r="A30" s="2" t="s">
        <v>40</v>
      </c>
      <c r="B30" s="26">
        <f t="shared" si="11"/>
        <v>4194304</v>
      </c>
      <c r="C30" s="2">
        <v>4.0</v>
      </c>
      <c r="D30" s="2" t="s">
        <v>39</v>
      </c>
      <c r="E30" s="26">
        <f t="shared" ref="E30:E33" si="13">C30*B30/(1024*1024)</f>
        <v>16</v>
      </c>
      <c r="G30" s="27"/>
      <c r="H30" s="27"/>
      <c r="I30" s="27"/>
    </row>
    <row r="31">
      <c r="B31" s="26">
        <f t="shared" si="11"/>
        <v>4194304</v>
      </c>
      <c r="C31" s="2">
        <v>1.0</v>
      </c>
      <c r="D31" s="2" t="s">
        <v>42</v>
      </c>
      <c r="E31" s="26">
        <f t="shared" si="13"/>
        <v>4</v>
      </c>
      <c r="H31" s="9"/>
      <c r="I31" s="27"/>
    </row>
    <row r="32">
      <c r="B32" s="26">
        <f t="shared" si="11"/>
        <v>4194304</v>
      </c>
      <c r="C32" s="2">
        <v>4.0</v>
      </c>
      <c r="D32" s="2" t="s">
        <v>44</v>
      </c>
      <c r="E32" s="26">
        <f t="shared" si="13"/>
        <v>16</v>
      </c>
      <c r="G32" s="27"/>
      <c r="H32" s="27"/>
      <c r="I32" s="27"/>
    </row>
    <row r="33">
      <c r="B33" s="26">
        <f t="shared" si="11"/>
        <v>4194304</v>
      </c>
      <c r="C33" s="2">
        <v>1.0</v>
      </c>
      <c r="D33" s="2" t="s">
        <v>42</v>
      </c>
      <c r="E33" s="26">
        <f t="shared" si="13"/>
        <v>4</v>
      </c>
      <c r="G33" s="27"/>
      <c r="H33" s="30"/>
      <c r="I33" s="27"/>
    </row>
    <row r="34">
      <c r="A34" s="29" t="s">
        <v>46</v>
      </c>
      <c r="B34" s="26">
        <f t="shared" si="11"/>
        <v>4194304</v>
      </c>
      <c r="C34" s="2">
        <v>16.0</v>
      </c>
      <c r="D34" s="2" t="s">
        <v>30</v>
      </c>
      <c r="E34" s="26">
        <f>if(B10="On",C34*B34/(1024*1024),0)   </f>
        <v>64</v>
      </c>
      <c r="G34" s="27"/>
      <c r="H34" s="27"/>
      <c r="I34" s="27"/>
    </row>
    <row r="35">
      <c r="A35" s="2" t="s">
        <v>48</v>
      </c>
      <c r="B35" s="26">
        <f t="shared" si="11"/>
        <v>4194304</v>
      </c>
      <c r="C35" s="2">
        <v>4.0</v>
      </c>
      <c r="D35" s="2" t="s">
        <v>44</v>
      </c>
      <c r="E35" s="26">
        <f>if($B$9="On",C35*B35/(1024*1024),0)   </f>
        <v>16</v>
      </c>
      <c r="G35" s="27"/>
      <c r="H35" s="27"/>
      <c r="I35" s="27"/>
    </row>
    <row r="36">
      <c r="A36" s="2" t="s">
        <v>49</v>
      </c>
      <c r="B36" s="26">
        <f t="shared" si="11"/>
        <v>4194304</v>
      </c>
      <c r="C36" s="2">
        <v>4.0</v>
      </c>
      <c r="D36" s="2" t="s">
        <v>44</v>
      </c>
      <c r="E36" s="26">
        <f t="shared" ref="E36:E37" si="14">C36*B36/(1024*1024)</f>
        <v>16</v>
      </c>
      <c r="G36" s="27"/>
      <c r="H36" s="27"/>
      <c r="I36" s="27"/>
    </row>
    <row r="37">
      <c r="A37" s="2" t="s">
        <v>50</v>
      </c>
      <c r="B37" s="26">
        <f t="shared" si="11"/>
        <v>4194304</v>
      </c>
      <c r="C37" s="2">
        <v>4.0</v>
      </c>
      <c r="D37" s="2" t="s">
        <v>44</v>
      </c>
      <c r="E37" s="26">
        <f t="shared" si="14"/>
        <v>16</v>
      </c>
      <c r="G37" s="27"/>
      <c r="H37" s="27"/>
      <c r="I37" s="27"/>
    </row>
    <row r="38">
      <c r="G38" s="27"/>
      <c r="H38" s="27"/>
      <c r="I38" s="27"/>
    </row>
    <row r="39">
      <c r="A39" s="1" t="s">
        <v>150</v>
      </c>
      <c r="C39" s="2"/>
      <c r="D39" s="2"/>
      <c r="G39" s="27"/>
      <c r="H39" s="27"/>
      <c r="I39" s="27"/>
    </row>
    <row r="40">
      <c r="A40" s="2" t="s">
        <v>53</v>
      </c>
      <c r="B40" s="26">
        <f t="shared" ref="B40:B44" si="15">$B$16*$B$4</f>
        <v>16777216</v>
      </c>
      <c r="C40" s="2">
        <v>16.0</v>
      </c>
      <c r="D40" s="2" t="s">
        <v>30</v>
      </c>
      <c r="E40" s="26">
        <f t="shared" ref="E40:E44" si="16">C40*B40/(1024*1024)</f>
        <v>256</v>
      </c>
      <c r="G40" s="27"/>
      <c r="H40" s="27"/>
      <c r="I40" s="27"/>
    </row>
    <row r="41">
      <c r="A41" s="2" t="s">
        <v>55</v>
      </c>
      <c r="B41" s="26">
        <f t="shared" si="15"/>
        <v>16777216</v>
      </c>
      <c r="C41" s="2">
        <v>16.0</v>
      </c>
      <c r="D41" s="2" t="s">
        <v>30</v>
      </c>
      <c r="E41" s="26">
        <f t="shared" si="16"/>
        <v>256</v>
      </c>
      <c r="H41" s="9"/>
      <c r="I41" s="27"/>
    </row>
    <row r="42">
      <c r="A42" s="2" t="s">
        <v>56</v>
      </c>
      <c r="B42" s="26">
        <f t="shared" si="15"/>
        <v>16777216</v>
      </c>
      <c r="C42" s="2">
        <v>16.0</v>
      </c>
      <c r="D42" s="2" t="s">
        <v>30</v>
      </c>
      <c r="E42" s="26">
        <f t="shared" si="16"/>
        <v>256</v>
      </c>
      <c r="H42" s="9"/>
      <c r="I42" s="27"/>
    </row>
    <row r="43">
      <c r="A43" s="2" t="s">
        <v>151</v>
      </c>
      <c r="B43" s="26">
        <f t="shared" si="15"/>
        <v>16777216</v>
      </c>
      <c r="C43" s="2">
        <v>4.0</v>
      </c>
      <c r="D43" s="2" t="s">
        <v>44</v>
      </c>
      <c r="E43" s="26">
        <f t="shared" si="16"/>
        <v>64</v>
      </c>
      <c r="G43" s="27"/>
      <c r="H43" s="27"/>
      <c r="I43" s="27"/>
    </row>
    <row r="44">
      <c r="A44" s="2" t="s">
        <v>152</v>
      </c>
      <c r="B44" s="26">
        <f t="shared" si="15"/>
        <v>16777216</v>
      </c>
      <c r="C44" s="2">
        <v>1.0</v>
      </c>
      <c r="D44" s="2" t="s">
        <v>153</v>
      </c>
      <c r="E44" s="26">
        <f t="shared" si="16"/>
        <v>16</v>
      </c>
      <c r="G44" s="27"/>
      <c r="H44" s="27"/>
      <c r="I44" s="27"/>
    </row>
  </sheetData>
  <mergeCells count="5">
    <mergeCell ref="K2:S2"/>
    <mergeCell ref="K7:S7"/>
    <mergeCell ref="A8:B8"/>
    <mergeCell ref="H8:J8"/>
    <mergeCell ref="K8:S8"/>
  </mergeCells>
  <conditionalFormatting sqref="K10">
    <cfRule type="expression" dxfId="0" priority="1">
      <formula>K10&lt;K9</formula>
    </cfRule>
  </conditionalFormatting>
  <dataValidations>
    <dataValidation type="list" allowBlank="1" sqref="B2">
      <formula1>"128,256,512,1024,2048,4096"</formula1>
    </dataValidation>
    <dataValidation type="list" allowBlank="1" sqref="B4">
      <formula1>"1,4,16"</formula1>
    </dataValidation>
    <dataValidation type="list" allowBlank="1" sqref="B5 B9:B13">
      <formula1>"On,Off"</formula1>
    </dataValidation>
  </dataValidation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2.43"/>
  </cols>
  <sheetData>
    <row r="1">
      <c r="A1" s="3" t="s">
        <v>154</v>
      </c>
      <c r="B1" s="24">
        <v>2048.0</v>
      </c>
      <c r="C1" s="24">
        <v>2048.0</v>
      </c>
      <c r="D1" s="24">
        <v>2048.0</v>
      </c>
      <c r="E1" s="24">
        <v>2048.0</v>
      </c>
      <c r="F1" s="4">
        <v>2048.0</v>
      </c>
      <c r="H1" s="3"/>
      <c r="I1" s="24"/>
      <c r="J1" s="24"/>
      <c r="K1" s="24"/>
      <c r="L1" s="24"/>
      <c r="M1" s="4"/>
    </row>
    <row r="2">
      <c r="A2" s="5" t="s">
        <v>155</v>
      </c>
      <c r="B2" s="2">
        <v>4.0</v>
      </c>
      <c r="C2" s="2">
        <v>4.0</v>
      </c>
      <c r="D2" s="2">
        <v>4.0</v>
      </c>
      <c r="E2" s="2">
        <v>4.0</v>
      </c>
      <c r="F2" s="6">
        <v>4.0</v>
      </c>
      <c r="H2" s="5"/>
      <c r="M2" s="6"/>
    </row>
    <row r="3">
      <c r="A3" s="5" t="s">
        <v>156</v>
      </c>
      <c r="B3" s="2">
        <v>1.0</v>
      </c>
      <c r="C3" s="2">
        <v>2.0</v>
      </c>
      <c r="D3" s="2">
        <v>4.0</v>
      </c>
      <c r="E3" s="2">
        <v>8.0</v>
      </c>
      <c r="F3" s="6">
        <v>16.0</v>
      </c>
      <c r="H3" s="5"/>
      <c r="M3" s="6"/>
    </row>
    <row r="4">
      <c r="A4" s="5" t="s">
        <v>157</v>
      </c>
      <c r="B4" s="2">
        <v>1.0</v>
      </c>
      <c r="C4" s="2">
        <v>2.0</v>
      </c>
      <c r="D4" s="2">
        <v>4.0</v>
      </c>
      <c r="E4" s="2">
        <v>8.0</v>
      </c>
      <c r="F4" s="6">
        <v>16.0</v>
      </c>
      <c r="H4" s="5"/>
      <c r="M4" s="6"/>
    </row>
    <row r="5">
      <c r="A5" s="5" t="s">
        <v>158</v>
      </c>
      <c r="B5" s="2">
        <v>920.0</v>
      </c>
      <c r="C5" s="2">
        <v>230.0</v>
      </c>
      <c r="D5" s="2">
        <v>57.5</v>
      </c>
      <c r="E5" s="2">
        <v>14.375</v>
      </c>
      <c r="F5" s="6">
        <v>3.59375</v>
      </c>
      <c r="H5" s="5"/>
      <c r="M5" s="6"/>
    </row>
    <row r="6">
      <c r="A6" s="5" t="s">
        <v>6</v>
      </c>
      <c r="B6" s="2">
        <v>1988.0</v>
      </c>
      <c r="C6" s="2">
        <v>497.0</v>
      </c>
      <c r="D6" s="2">
        <v>124.25</v>
      </c>
      <c r="E6" s="2">
        <v>31.0625</v>
      </c>
      <c r="F6" s="6">
        <v>7.765625</v>
      </c>
      <c r="H6" s="5"/>
      <c r="M6" s="6"/>
    </row>
    <row r="7">
      <c r="A7" s="18" t="s">
        <v>159</v>
      </c>
      <c r="B7" s="34">
        <v>2920.203092</v>
      </c>
      <c r="C7" s="34">
        <v>739.2030916</v>
      </c>
      <c r="D7" s="34">
        <v>193.9530916</v>
      </c>
      <c r="E7" s="34">
        <v>57.64059155</v>
      </c>
      <c r="F7" s="72">
        <v>23.56246655</v>
      </c>
      <c r="H7" s="18"/>
      <c r="I7" s="34"/>
      <c r="J7" s="34"/>
      <c r="K7" s="34"/>
      <c r="L7" s="34"/>
      <c r="M7" s="72"/>
    </row>
    <row r="9">
      <c r="A9" s="3" t="s">
        <v>154</v>
      </c>
      <c r="B9" s="24">
        <v>2048.0</v>
      </c>
      <c r="C9" s="24">
        <v>2048.0</v>
      </c>
      <c r="D9" s="24">
        <v>2048.0</v>
      </c>
      <c r="E9" s="24">
        <v>2048.0</v>
      </c>
      <c r="F9" s="4">
        <v>2048.0</v>
      </c>
    </row>
    <row r="10">
      <c r="A10" s="5" t="s">
        <v>155</v>
      </c>
      <c r="B10" s="2">
        <v>4.0</v>
      </c>
      <c r="C10" s="2">
        <v>4.0</v>
      </c>
      <c r="D10" s="2">
        <v>4.0</v>
      </c>
      <c r="E10" s="2">
        <v>4.0</v>
      </c>
      <c r="F10" s="6">
        <v>4.0</v>
      </c>
    </row>
    <row r="11">
      <c r="A11" s="5" t="s">
        <v>156</v>
      </c>
      <c r="B11" s="2">
        <v>1.0</v>
      </c>
      <c r="C11" s="2">
        <v>2.0</v>
      </c>
      <c r="D11" s="2">
        <v>4.0</v>
      </c>
      <c r="E11" s="2">
        <v>8.0</v>
      </c>
      <c r="F11" s="6">
        <v>16.0</v>
      </c>
    </row>
    <row r="12">
      <c r="A12" s="5" t="s">
        <v>157</v>
      </c>
      <c r="B12" s="2">
        <v>1.0</v>
      </c>
      <c r="C12" s="2">
        <v>2.0</v>
      </c>
      <c r="D12" s="2">
        <v>2.0</v>
      </c>
      <c r="E12" s="2">
        <v>2.0</v>
      </c>
      <c r="F12" s="6">
        <v>2.0</v>
      </c>
    </row>
    <row r="13">
      <c r="A13" s="5" t="s">
        <v>158</v>
      </c>
      <c r="B13" s="2">
        <v>920.0</v>
      </c>
      <c r="C13" s="2">
        <v>230.0</v>
      </c>
      <c r="D13" s="2">
        <v>57.5</v>
      </c>
      <c r="E13" s="2">
        <v>14.375</v>
      </c>
      <c r="F13" s="6">
        <v>3.59375</v>
      </c>
    </row>
    <row r="14">
      <c r="A14" s="5" t="s">
        <v>6</v>
      </c>
      <c r="B14" s="2">
        <v>1988.0</v>
      </c>
      <c r="C14" s="2">
        <v>497.0</v>
      </c>
      <c r="D14" s="2">
        <v>497.0</v>
      </c>
      <c r="E14" s="2">
        <v>497.0</v>
      </c>
      <c r="F14" s="6">
        <v>497.0</v>
      </c>
    </row>
    <row r="15">
      <c r="A15" s="5" t="s">
        <v>159</v>
      </c>
      <c r="B15" s="9">
        <v>2920.203092</v>
      </c>
      <c r="C15" s="9">
        <v>739.2030916</v>
      </c>
      <c r="D15" s="9">
        <v>566.7030916</v>
      </c>
      <c r="E15" s="9">
        <v>523.5780916</v>
      </c>
      <c r="F15" s="45">
        <v>512.7968416</v>
      </c>
    </row>
    <row r="16">
      <c r="A16" s="73"/>
      <c r="B16" s="33"/>
      <c r="C16" s="33"/>
      <c r="D16" s="33"/>
      <c r="E16" s="33"/>
      <c r="F16" s="74"/>
    </row>
  </sheetData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3" max="3" width="22.43"/>
    <col customWidth="1" min="4" max="4" width="18.57"/>
    <col customWidth="1" min="5" max="5" width="25.57"/>
    <col customWidth="1" min="6" max="6" width="12.71"/>
    <col customWidth="1" min="10" max="10" width="42.0"/>
  </cols>
  <sheetData>
    <row r="1">
      <c r="B1" s="39" t="s">
        <v>160</v>
      </c>
      <c r="G1" s="39" t="s">
        <v>161</v>
      </c>
    </row>
    <row r="2">
      <c r="B2" s="3" t="s">
        <v>154</v>
      </c>
      <c r="C2" s="23" t="s">
        <v>162</v>
      </c>
      <c r="D2" s="23" t="s">
        <v>163</v>
      </c>
      <c r="E2" s="75" t="s">
        <v>164</v>
      </c>
      <c r="G2" s="3" t="s">
        <v>154</v>
      </c>
      <c r="H2" s="23"/>
      <c r="I2" s="23"/>
      <c r="J2" s="75" t="s">
        <v>164</v>
      </c>
    </row>
    <row r="3">
      <c r="B3" s="44" t="s">
        <v>165</v>
      </c>
      <c r="C3" s="76">
        <f>4882-3771</f>
        <v>1111</v>
      </c>
      <c r="D3" s="77" t="s">
        <v>166</v>
      </c>
      <c r="E3" s="6">
        <v>0.0</v>
      </c>
      <c r="G3" s="44" t="s">
        <v>165</v>
      </c>
      <c r="H3" s="77"/>
      <c r="I3" s="77"/>
      <c r="J3" s="76">
        <f>4100</f>
        <v>4100</v>
      </c>
    </row>
    <row r="4">
      <c r="B4" s="44" t="s">
        <v>167</v>
      </c>
      <c r="C4" s="76">
        <f>5470-5094</f>
        <v>376</v>
      </c>
      <c r="D4" s="76">
        <f>5339-2859</f>
        <v>2480</v>
      </c>
      <c r="E4" s="6">
        <v>0.0</v>
      </c>
      <c r="G4" s="44" t="s">
        <v>167</v>
      </c>
      <c r="H4" s="77"/>
      <c r="I4" s="77"/>
      <c r="J4" s="76">
        <f>3500</f>
        <v>3500</v>
      </c>
    </row>
    <row r="5">
      <c r="B5" s="44" t="s">
        <v>168</v>
      </c>
      <c r="C5" s="76">
        <f>2441-2376</f>
        <v>65</v>
      </c>
      <c r="D5" s="77">
        <f>2983-2326</f>
        <v>657</v>
      </c>
      <c r="E5" s="6">
        <v>0.0</v>
      </c>
      <c r="G5" s="44" t="s">
        <v>168</v>
      </c>
      <c r="H5" s="77"/>
      <c r="I5" s="77"/>
      <c r="J5" s="76">
        <f>900</f>
        <v>900</v>
      </c>
    </row>
    <row r="6">
      <c r="B6" s="78">
        <v>512.0</v>
      </c>
      <c r="C6" s="79" t="s">
        <v>169</v>
      </c>
      <c r="D6" s="80">
        <f>2200-2177</f>
        <v>23</v>
      </c>
      <c r="E6" s="22">
        <v>0.0</v>
      </c>
      <c r="G6" s="78">
        <v>512.0</v>
      </c>
      <c r="H6" s="79"/>
      <c r="I6" s="79"/>
      <c r="J6" s="76">
        <f>300</f>
        <v>300</v>
      </c>
    </row>
    <row r="10">
      <c r="B10" s="39" t="s">
        <v>170</v>
      </c>
    </row>
    <row r="11">
      <c r="B11" s="3" t="s">
        <v>154</v>
      </c>
      <c r="C11" s="23" t="s">
        <v>162</v>
      </c>
      <c r="D11" s="23" t="s">
        <v>163</v>
      </c>
      <c r="E11" s="75" t="s">
        <v>164</v>
      </c>
    </row>
    <row r="12">
      <c r="B12" s="44" t="s">
        <v>165</v>
      </c>
      <c r="C12" s="79" t="s">
        <v>169</v>
      </c>
      <c r="D12" s="77" t="s">
        <v>166</v>
      </c>
      <c r="E12" s="6">
        <v>0.0</v>
      </c>
    </row>
    <row r="13">
      <c r="B13" s="44" t="s">
        <v>167</v>
      </c>
      <c r="C13" s="79" t="s">
        <v>169</v>
      </c>
      <c r="D13" s="76">
        <f>4581-2082</f>
        <v>2499</v>
      </c>
      <c r="E13" s="6">
        <v>0.0</v>
      </c>
    </row>
    <row r="14">
      <c r="B14" s="44" t="s">
        <v>168</v>
      </c>
      <c r="C14" s="79" t="s">
        <v>169</v>
      </c>
      <c r="D14" s="77">
        <f>2242-1603</f>
        <v>639</v>
      </c>
      <c r="E14" s="6">
        <v>0.0</v>
      </c>
    </row>
    <row r="15">
      <c r="B15" s="78">
        <v>512.0</v>
      </c>
      <c r="C15" s="79" t="s">
        <v>169</v>
      </c>
      <c r="D15" s="80">
        <f>1610-1435</f>
        <v>175</v>
      </c>
      <c r="E15" s="22">
        <v>0.0</v>
      </c>
    </row>
  </sheetData>
  <mergeCells count="3">
    <mergeCell ref="B1:E1"/>
    <mergeCell ref="G1:J1"/>
    <mergeCell ref="B10:E10"/>
  </mergeCells>
  <drawing r:id="rId1"/>
</worksheet>
</file>